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anafas01.summit-pcb.com\anausers$\nrios\Desktop\CMRT\"/>
    </mc:Choice>
  </mc:AlternateContent>
  <xr:revisionPtr revIDLastSave="0" documentId="13_ncr:1_{A9390ADF-0839-4275-A1F0-57CC3EBEBB5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4" i="5" l="1"/>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H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G8" i="5" s="1"/>
  <c r="J8"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V9" i="5"/>
  <c r="E9" i="5" s="1"/>
  <c r="V10" i="5"/>
  <c r="E10" i="5" s="1"/>
  <c r="V11" i="5"/>
  <c r="H11" i="5" s="1"/>
  <c r="V12" i="5"/>
  <c r="F12" i="5" s="1"/>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s="1"/>
  <c r="B56" i="6"/>
  <c r="G56" i="6"/>
  <c r="B55" i="6"/>
  <c r="G55" i="6" s="1"/>
  <c r="B54" i="6"/>
  <c r="G54" i="6" s="1"/>
  <c r="B17" i="6"/>
  <c r="B16" i="6"/>
  <c r="F21" i="6" s="1"/>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B41" i="4" s="1"/>
  <c r="A27" i="6" s="1"/>
  <c r="P40" i="4"/>
  <c r="B40" i="4" s="1"/>
  <c r="B70" i="4" s="1"/>
  <c r="A51" i="6" s="1"/>
  <c r="P39" i="4"/>
  <c r="B39" i="4" s="1"/>
  <c r="A25" i="6" s="1"/>
  <c r="P38" i="4"/>
  <c r="B38" i="4" s="1"/>
  <c r="B50" i="4" s="1"/>
  <c r="A3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F2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1" i="5"/>
  <c r="S532" i="5"/>
  <c r="S356" i="5"/>
  <c r="S343" i="5"/>
  <c r="S315" i="5"/>
  <c r="S357" i="5"/>
  <c r="S38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H52" i="6" s="1"/>
  <c r="D52" i="6" s="1"/>
  <c r="B37" i="6"/>
  <c r="G37" i="6" s="1"/>
  <c r="H37" i="6" s="1"/>
  <c r="D37" i="6" s="1"/>
  <c r="B42" i="6"/>
  <c r="G42" i="6"/>
  <c r="B40" i="6"/>
  <c r="G40" i="6" s="1"/>
  <c r="B35" i="6"/>
  <c r="G35" i="6" s="1"/>
  <c r="B39" i="6"/>
  <c r="G39" i="6" s="1"/>
  <c r="B49" i="6"/>
  <c r="G49" i="6" s="1"/>
  <c r="B34" i="6"/>
  <c r="G34" i="6" s="1"/>
  <c r="B29" i="6"/>
  <c r="G29" i="6"/>
  <c r="B24" i="6"/>
  <c r="G24" i="6" s="1"/>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H27" i="6"/>
  <c r="D27" i="6" s="1"/>
  <c r="F68" i="6"/>
  <c r="F32" i="6"/>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X513" i="5"/>
  <c r="S355" i="5"/>
  <c r="S602" i="5"/>
  <c r="S603" i="5"/>
  <c r="S605" i="5"/>
  <c r="S607" i="5"/>
  <c r="S314" i="5"/>
  <c r="AB12" i="5"/>
  <c r="AB9" i="5"/>
  <c r="AB10" i="5"/>
  <c r="AB14" i="5"/>
  <c r="AB17" i="5"/>
  <c r="AB16" i="5"/>
  <c r="AB8" i="5"/>
  <c r="AB13" i="5"/>
  <c r="AB15" i="5"/>
  <c r="AB11" i="5"/>
  <c r="AB7" i="5"/>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J12" i="5"/>
  <c r="R12" i="5"/>
  <c r="H9" i="5"/>
  <c r="J9" i="5"/>
  <c r="I9" i="5"/>
  <c r="R9" i="5"/>
  <c r="F9" i="5"/>
  <c r="R8" i="5"/>
  <c r="H8" i="5"/>
  <c r="I8" i="5"/>
  <c r="H15" i="5"/>
  <c r="J15" i="5"/>
  <c r="I15" i="5"/>
  <c r="F15" i="5"/>
  <c r="R15" i="5"/>
  <c r="I11" i="5"/>
  <c r="I14" i="5"/>
  <c r="R14" i="5"/>
  <c r="J14" i="5"/>
  <c r="H14" i="5"/>
  <c r="F14" i="5"/>
  <c r="S17" i="5"/>
  <c r="S16" i="5"/>
  <c r="S15" i="5"/>
  <c r="S14" i="5"/>
  <c r="G64" i="6" a="1"/>
  <c r="E8" i="5" l="1"/>
  <c r="F8" i="5"/>
  <c r="E7" i="5"/>
  <c r="E11" i="5"/>
  <c r="J5" i="5"/>
  <c r="X10" i="5"/>
  <c r="X9" i="5"/>
  <c r="I12" i="5"/>
  <c r="G67" i="6"/>
  <c r="H12" i="5"/>
  <c r="F11" i="5"/>
  <c r="J11" i="5"/>
  <c r="R11" i="5"/>
  <c r="G66" i="6"/>
  <c r="G68" i="6"/>
  <c r="H68" i="6" s="1"/>
  <c r="D68" i="6" s="1"/>
  <c r="G65" i="6"/>
  <c r="G69" i="6" a="1"/>
  <c r="G69" i="6" s="1"/>
  <c r="E5" i="5"/>
  <c r="F5" i="5"/>
  <c r="G5" i="5"/>
  <c r="R5" i="5"/>
  <c r="H21" i="6"/>
  <c r="D21" i="6" s="1"/>
  <c r="H20" i="6"/>
  <c r="D20" i="6" s="1"/>
  <c r="B25" i="6"/>
  <c r="G25" i="6" s="1"/>
  <c r="H25" i="6" s="1"/>
  <c r="D25" i="6" s="1"/>
  <c r="B45" i="6"/>
  <c r="G45" i="6" s="1"/>
  <c r="K68" i="6"/>
  <c r="D17" i="6"/>
  <c r="C52" i="6"/>
  <c r="C47" i="6"/>
  <c r="C17" i="6"/>
  <c r="C42" i="6"/>
  <c r="C22" i="6"/>
  <c r="C27" i="6"/>
  <c r="C32" i="6"/>
  <c r="C37" i="6"/>
  <c r="B46" i="6"/>
  <c r="G46" i="6" s="1"/>
  <c r="B31" i="6"/>
  <c r="G31" i="6" s="1"/>
  <c r="F26" i="6"/>
  <c r="B26" i="6"/>
  <c r="G26" i="6" s="1"/>
  <c r="G16" i="6"/>
  <c r="H16" i="6" s="1"/>
  <c r="B41" i="6"/>
  <c r="G41" i="6" s="1"/>
  <c r="B36" i="6"/>
  <c r="G36" i="6" s="1"/>
  <c r="C16" i="6"/>
  <c r="B51" i="6"/>
  <c r="G51" i="6" s="1"/>
  <c r="D15" i="6"/>
  <c r="K66" i="6"/>
  <c r="F66" i="6"/>
  <c r="F50" i="6"/>
  <c r="F30" i="6"/>
  <c r="F35" i="6"/>
  <c r="H35" i="6" s="1"/>
  <c r="D35" i="6" s="1"/>
  <c r="F40" i="6"/>
  <c r="H40" i="6" s="1"/>
  <c r="D40" i="6" s="1"/>
  <c r="F45" i="6"/>
  <c r="B50" i="6"/>
  <c r="G50" i="6" s="1"/>
  <c r="B30" i="6"/>
  <c r="G30" i="6" s="1"/>
  <c r="C15" i="6"/>
  <c r="B55" i="4"/>
  <c r="A38" i="6" s="1"/>
  <c r="B83" i="4"/>
  <c r="A59" i="6" s="1"/>
  <c r="B61" i="4"/>
  <c r="A43" i="6" s="1"/>
  <c r="B49" i="4"/>
  <c r="A33" i="6" s="1"/>
  <c r="B85" i="4"/>
  <c r="A60" i="6" s="1"/>
  <c r="B43" i="4"/>
  <c r="A28" i="6" s="1"/>
  <c r="B67" i="4"/>
  <c r="A48" i="6" s="1"/>
  <c r="B77" i="4"/>
  <c r="A55" i="6" s="1"/>
  <c r="B81" i="4"/>
  <c r="A58" i="6" s="1"/>
  <c r="B79" i="4"/>
  <c r="A57" i="6" s="1"/>
  <c r="B31" i="4"/>
  <c r="A18" i="6" s="1"/>
  <c r="B87" i="4"/>
  <c r="A62" i="6" s="1"/>
  <c r="B75" i="4"/>
  <c r="A54" i="6" s="1"/>
  <c r="B37" i="4"/>
  <c r="A23" i="6" s="1"/>
  <c r="B89" i="4"/>
  <c r="A63" i="6" s="1"/>
  <c r="F34" i="6"/>
  <c r="H34" i="6" s="1"/>
  <c r="D34" i="6" s="1"/>
  <c r="F39" i="6"/>
  <c r="H39" i="6" s="1"/>
  <c r="D39" i="6" s="1"/>
  <c r="F44" i="6"/>
  <c r="H44" i="6" s="1"/>
  <c r="D44" i="6" s="1"/>
  <c r="F29" i="6"/>
  <c r="H29" i="6" s="1"/>
  <c r="D29" i="6" s="1"/>
  <c r="H24" i="6"/>
  <c r="D24" i="6" s="1"/>
  <c r="F65" i="6"/>
  <c r="F49" i="6"/>
  <c r="H49" i="6" s="1"/>
  <c r="D49" i="6" s="1"/>
  <c r="D14" i="6"/>
  <c r="C49" i="6"/>
  <c r="B44" i="6"/>
  <c r="G44" i="6" s="1"/>
  <c r="C34" i="6"/>
  <c r="G19" i="6"/>
  <c r="H19" i="6" s="1"/>
  <c r="C44" i="6"/>
  <c r="C14" i="6"/>
  <c r="H6" i="6"/>
  <c r="D6" i="6" s="1"/>
  <c r="C6" i="6"/>
  <c r="C5" i="6"/>
  <c r="F69" i="6"/>
  <c r="C69" i="6" s="1"/>
  <c r="C12" i="6"/>
  <c r="C10" i="6"/>
  <c r="D49" i="4"/>
  <c r="D61" i="4"/>
  <c r="D37" i="4"/>
  <c r="D31" i="4"/>
  <c r="C11" i="6"/>
  <c r="B62" i="4"/>
  <c r="A44" i="6" s="1"/>
  <c r="A24" i="6"/>
  <c r="C9" i="6"/>
  <c r="B71" i="4"/>
  <c r="A52" i="6" s="1"/>
  <c r="B65" i="4"/>
  <c r="A47" i="6" s="1"/>
  <c r="B59" i="4"/>
  <c r="A42" i="6" s="1"/>
  <c r="B53" i="4"/>
  <c r="A37" i="6" s="1"/>
  <c r="D67" i="4"/>
  <c r="C8" i="6"/>
  <c r="D7" i="6"/>
  <c r="C7" i="6"/>
  <c r="A16" i="6"/>
  <c r="G55" i="4"/>
  <c r="G37" i="4"/>
  <c r="B68" i="4"/>
  <c r="A49" i="6" s="1"/>
  <c r="G43" i="4"/>
  <c r="G49" i="4"/>
  <c r="G61" i="4"/>
  <c r="B56" i="4"/>
  <c r="A39" i="6" s="1"/>
  <c r="B69" i="4"/>
  <c r="A50" i="6" s="1"/>
  <c r="B63" i="4"/>
  <c r="A45" i="6" s="1"/>
  <c r="G67" i="4"/>
  <c r="B51" i="4"/>
  <c r="A35" i="6" s="1"/>
  <c r="B57" i="4"/>
  <c r="A40" i="6" s="1"/>
  <c r="G31" i="4"/>
  <c r="B35" i="4"/>
  <c r="A22" i="6" s="1"/>
  <c r="D4" i="6"/>
  <c r="C4" i="6"/>
  <c r="A14" i="6"/>
  <c r="D74" i="4"/>
  <c r="B64" i="4"/>
  <c r="A46" i="6" s="1"/>
  <c r="B52" i="4"/>
  <c r="A36" i="6" s="1"/>
  <c r="D55" i="4"/>
  <c r="G64" i="6"/>
  <c r="A26" i="6"/>
  <c r="B33" i="4"/>
  <c r="A20" i="6" s="1"/>
  <c r="B58" i="4"/>
  <c r="A41" i="6" s="1"/>
  <c r="S13" i="5"/>
  <c r="S12" i="5"/>
  <c r="S10" i="5"/>
  <c r="S9" i="5"/>
  <c r="S6" i="5"/>
  <c r="X11" i="5" l="1"/>
  <c r="X7" i="5"/>
  <c r="X8" i="5"/>
  <c r="H66" i="6"/>
  <c r="D66" i="6" s="1"/>
  <c r="C68" i="6"/>
  <c r="X5" i="5"/>
  <c r="C66" i="6"/>
  <c r="H45" i="6"/>
  <c r="D45" i="6" s="1"/>
  <c r="C21" i="6"/>
  <c r="C20" i="6"/>
  <c r="H30" i="6"/>
  <c r="D30" i="6" s="1"/>
  <c r="H50" i="6"/>
  <c r="K67" i="6"/>
  <c r="D16" i="6"/>
  <c r="F36" i="6"/>
  <c r="H36" i="6" s="1"/>
  <c r="H26" i="6"/>
  <c r="F67" i="6"/>
  <c r="H67" i="6" s="1"/>
  <c r="F51" i="6"/>
  <c r="H51" i="6" s="1"/>
  <c r="F46" i="6"/>
  <c r="H46" i="6" s="1"/>
  <c r="F31" i="6"/>
  <c r="H31" i="6" s="1"/>
  <c r="F41" i="6"/>
  <c r="H41" i="6" s="1"/>
  <c r="F54" i="6"/>
  <c r="F55" i="6" s="1"/>
  <c r="C25" i="6"/>
  <c r="C40" i="6"/>
  <c r="C35" i="6"/>
  <c r="D19" i="6"/>
  <c r="K65" i="6"/>
  <c r="C19" i="6"/>
  <c r="C39" i="6"/>
  <c r="H65" i="6"/>
  <c r="C2" i="6"/>
  <c r="B2" i="6"/>
  <c r="F63" i="6"/>
  <c r="H63" i="6" s="1"/>
  <c r="F59" i="6"/>
  <c r="H59" i="6" s="1"/>
  <c r="F57" i="6"/>
  <c r="H57" i="6" s="1"/>
  <c r="C24" i="6"/>
  <c r="C29" i="6"/>
  <c r="H69" i="6"/>
  <c r="H64" i="6"/>
  <c r="B64" i="6"/>
  <c r="S8" i="5"/>
  <c r="T9" i="5"/>
  <c r="T10" i="5"/>
  <c r="T12" i="5"/>
  <c r="T13" i="5"/>
  <c r="S5" i="5"/>
  <c r="S11" i="5"/>
  <c r="S7" i="5"/>
  <c r="T6" i="5"/>
  <c r="C45" i="6" l="1"/>
  <c r="H54" i="6"/>
  <c r="C54" i="6" s="1"/>
  <c r="C30" i="6"/>
  <c r="D50" i="6"/>
  <c r="C50" i="6"/>
  <c r="F58" i="6"/>
  <c r="H58" i="6" s="1"/>
  <c r="C58" i="6" s="1"/>
  <c r="F62" i="6"/>
  <c r="H62" i="6" s="1"/>
  <c r="C62" i="6" s="1"/>
  <c r="F60" i="6"/>
  <c r="H60" i="6" s="1"/>
  <c r="C60" i="6" s="1"/>
  <c r="D31" i="6"/>
  <c r="C31" i="6"/>
  <c r="D41" i="6"/>
  <c r="C41" i="6"/>
  <c r="D46" i="6"/>
  <c r="C46" i="6"/>
  <c r="D51" i="6"/>
  <c r="C51" i="6"/>
  <c r="D67" i="6"/>
  <c r="C67" i="6"/>
  <c r="D26" i="6"/>
  <c r="C26" i="6"/>
  <c r="D36" i="6"/>
  <c r="C36" i="6"/>
  <c r="D63" i="6"/>
  <c r="C63" i="6"/>
  <c r="D65" i="6"/>
  <c r="C65" i="6"/>
  <c r="F56" i="6"/>
  <c r="H56" i="6" s="1"/>
  <c r="H55" i="6"/>
  <c r="D57" i="6"/>
  <c r="C57" i="6"/>
  <c r="D59" i="6"/>
  <c r="C59" i="6"/>
  <c r="D64" i="6"/>
  <c r="C64" i="6"/>
  <c r="T11" i="5"/>
  <c r="T5" i="5"/>
  <c r="T8" i="5"/>
  <c r="T7" i="5"/>
  <c r="D54" i="6" l="1"/>
  <c r="D58" i="6"/>
  <c r="H70" i="6"/>
  <c r="D2" i="6" s="1"/>
  <c r="D62" i="6"/>
  <c r="D60"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<sst xmlns="http://schemas.openxmlformats.org/spreadsheetml/2006/main" count="22523" uniqueCount="15866">
  <si>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</si>
  <si>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</si>
  <si>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</si>
  <si>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</si>
  <si>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</si>
  <si>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</si>
  <si>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</si>
  <si>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</si>
  <si>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</si>
  <si>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</si>
  <si>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</si>
  <si>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</si>
  <si>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</si>
  <si>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</si>
  <si>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</si>
  <si>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</si>
  <si>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</si>
  <si>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</si>
  <si>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</si>
  <si>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</si>
  <si>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</si>
  <si>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</si>
  <si>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</si>
  <si>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</si>
  <si>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</si>
  <si>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</si>
  <si>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</si>
  <si>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</si>
  <si>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</si>
  <si>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</si>
  <si>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</si>
  <si>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</si>
  <si>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</si>
  <si>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</si>
  <si>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</si>
  <si>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</si>
  <si>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</si>
  <si>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</si>
  <si>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</si>
  <si>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</si>
  <si>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</si>
  <si>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</si>
  <si>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</si>
  <si>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</si>
  <si>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</si>
  <si>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</si>
  <si>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</si>
  <si>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</si>
  <si>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</si>
  <si>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</si>
  <si>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</si>
  <si>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</si>
  <si>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</si>
  <si>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</si>
  <si>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</si>
  <si>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</si>
  <si>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</si>
  <si>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</si>
  <si>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</si>
  <si>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</si>
  <si>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</si>
  <si>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</si>
  <si>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</si>
  <si>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</si>
  <si>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</si>
  <si>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</si>
  <si>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</si>
  <si>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</si>
  <si>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</si>
  <si>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</si>
  <si>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</si>
  <si>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</si>
  <si>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</si>
  <si>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</si>
  <si>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</si>
  <si>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</si>
  <si>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</si>
  <si>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</si>
  <si>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</si>
  <si>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</si>
  <si>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</si>
  <si>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</si>
  <si>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</si>
  <si>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</si>
  <si>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</si>
  <si>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</si>
  <si>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</si>
  <si>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</si>
  <si>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</si>
  <si>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</si>
  <si>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</si>
  <si>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</si>
  <si>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</si>
  <si>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</si>
  <si>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</si>
  <si>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</si>
  <si>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</si>
  <si>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</si>
  <si>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</si>
  <si>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</si>
  <si>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</si>
  <si>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</si>
  <si>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</si>
  <si>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</si>
  <si>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</si>
  <si>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</si>
  <si>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</si>
  <si>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</si>
  <si>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</si>
  <si>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</si>
  <si>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</si>
  <si>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</si>
  <si>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</si>
  <si>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</si>
  <si>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</si>
  <si>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</si>
  <si>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</si>
  <si>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</si>
  <si>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</si>
  <si>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</si>
  <si>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</si>
  <si>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</si>
  <si>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</si>
  <si>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</si>
  <si>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</si>
  <si>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</si>
  <si>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</si>
  <si>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</si>
  <si>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</si>
  <si>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</si>
  <si>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</si>
  <si>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</si>
  <si>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</si>
  <si>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</si>
  <si>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</si>
  <si>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</si>
  <si>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</si>
  <si>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</si>
  <si>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</si>
  <si>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</si>
  <si>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</si>
  <si>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</si>
  <si>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</si>
  <si>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</si>
  <si>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</si>
  <si>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</si>
  <si>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</si>
  <si>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</si>
  <si>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</si>
  <si>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</si>
  <si>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</si>
  <si>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</si>
  <si>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</si>
  <si>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</si>
  <si>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</si>
  <si>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</si>
  <si>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</si>
  <si>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</si>
  <si>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</si>
  <si>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</si>
  <si>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</si>
  <si>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</si>
  <si>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</si>
  <si>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</si>
  <si>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</si>
  <si>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</si>
  <si>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</si>
  <si>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</si>
  <si>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</si>
  <si>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</si>
  <si>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</si>
  <si>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</si>
  <si>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</si>
  <si>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</si>
  <si>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</si>
  <si>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</si>
  <si>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</si>
  <si>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</si>
  <si>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</si>
  <si>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</si>
  <si>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</si>
  <si>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</si>
  <si>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</si>
  <si>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</si>
  <si>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</si>
  <si>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</si>
  <si>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</si>
  <si>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</si>
  <si>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</si>
  <si>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</si>
  <si>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</si>
  <si>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</si>
  <si>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</si>
  <si>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</si>
  <si>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</si>
  <si>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</si>
  <si>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</si>
  <si>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</si>
  <si>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</si>
  <si>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</si>
  <si>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</si>
  <si>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</si>
  <si>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</si>
  <si>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</si>
  <si>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</si>
  <si>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</si>
  <si>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</si>
  <si>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</si>
  <si>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</si>
  <si>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</si>
  <si>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</si>
  <si>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</si>
  <si>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</si>
  <si>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</si>
  <si>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</si>
  <si>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</si>
  <si>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</si>
  <si>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</si>
  <si>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</si>
  <si>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</si>
  <si>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</si>
  <si>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</si>
  <si>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</si>
  <si>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</si>
  <si>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</si>
  <si>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</si>
  <si>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</si>
  <si>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</si>
  <si>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</si>
  <si>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</si>
  <si>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</si>
  <si>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</si>
  <si>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</si>
  <si>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</si>
  <si>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</si>
  <si>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</si>
  <si>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</si>
  <si>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</si>
  <si>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</si>
  <si>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</si>
  <si>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</si>
  <si>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</si>
  <si>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</si>
  <si>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</si>
  <si>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</si>
  <si>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</si>
  <si>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</si>
  <si>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</si>
  <si>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</si>
  <si>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</si>
  <si>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</si>
  <si>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</si>
  <si>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</si>
  <si>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</si>
  <si>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</si>
  <si>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</si>
  <si>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</si>
  <si>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</si>
  <si>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</si>
  <si>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</si>
  <si>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</si>
  <si>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</si>
  <si>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</si>
  <si>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</si>
  <si>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</si>
  <si>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</si>
  <si>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</si>
  <si>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</si>
  <si>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</si>
  <si>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</si>
  <si>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</si>
  <si>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</si>
  <si>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</si>
  <si>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</si>
  <si>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</si>
  <si>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</si>
  <si>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</si>
  <si>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</si>
  <si>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</si>
  <si>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</si>
  <si>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</si>
  <si>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</si>
  <si>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</si>
  <si>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</si>
  <si>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</si>
  <si>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</si>
  <si>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</si>
  <si>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</si>
  <si>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</si>
  <si>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</si>
  <si>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</si>
  <si>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</si>
  <si>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</si>
  <si>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</si>
  <si>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</si>
  <si>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</si>
  <si>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</si>
  <si>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</si>
  <si>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</si>
  <si>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</si>
  <si>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</si>
  <si>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</si>
  <si>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</si>
  <si>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</si>
  <si>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</si>
  <si>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</si>
  <si>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</si>
  <si>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</si>
  <si>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</si>
  <si>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</si>
  <si>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</si>
  <si>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</si>
  <si>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</si>
  <si>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</si>
  <si>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</si>
  <si>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</si>
  <si>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</si>
  <si>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</si>
  <si>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</si>
  <si>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</si>
  <si>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</si>
  <si>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</si>
  <si>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</si>
  <si>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</si>
  <si>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</si>
  <si>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</si>
  <si>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</si>
  <si>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</si>
  <si>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</si>
  <si>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</si>
  <si>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</si>
  <si>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</si>
  <si>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</si>
  <si>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</si>
  <si>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</si>
  <si>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</si>
  <si>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</si>
  <si>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</si>
  <si>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</si>
  <si>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</si>
  <si>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</si>
  <si>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</si>
  <si>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</si>
  <si>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</si>
  <si>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</si>
  <si>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</si>
  <si>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</si>
  <si>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</si>
  <si>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</si>
  <si>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</si>
  <si>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</si>
  <si>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</si>
  <si>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</si>
  <si>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</si>
  <si>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</si>
  <si>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</si>
  <si>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</si>
  <si>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</si>
  <si>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</si>
  <si>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</si>
  <si>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</si>
  <si>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</si>
  <si>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</si>
  <si>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</si>
  <si>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</si>
  <si>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</si>
  <si>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</si>
  <si>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</si>
  <si>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</si>
  <si>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</si>
  <si>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</si>
  <si>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</si>
  <si>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</si>
  <si>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</si>
  <si>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</si>
  <si>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</si>
  <si>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</si>
  <si>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</si>
  <si>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</si>
  <si>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</si>
  <si>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</si>
  <si>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</si>
  <si>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</si>
  <si>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</si>
  <si>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</si>
  <si>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</si>
  <si>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</si>
  <si>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</si>
  <si>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</si>
  <si>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</si>
  <si>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</si>
  <si>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</si>
  <si>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</si>
  <si>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</si>
  <si>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</si>
  <si>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</si>
  <si>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</si>
  <si>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</si>
  <si>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</si>
  <si>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</si>
  <si>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</si>
  <si>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</si>
  <si>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</si>
  <si>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</si>
  <si>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</si>
  <si>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</si>
  <si>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</si>
  <si>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</si>
  <si>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</si>
  <si>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</si>
  <si>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</si>
  <si>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</si>
  <si>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</si>
  <si>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</si>
  <si>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</si>
  <si>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</si>
  <si>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</si>
  <si>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</si>
  <si>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</si>
  <si>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</si>
  <si>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</si>
  <si>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</si>
  <si>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</si>
  <si>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</si>
  <si>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</si>
  <si>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</si>
  <si>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</si>
  <si>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</si>
  <si>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</si>
  <si>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</si>
  <si>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</si>
  <si>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</si>
  <si>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</si>
  <si>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</si>
  <si>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</si>
  <si>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</si>
  <si>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</si>
  <si>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</si>
  <si>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</si>
  <si>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</si>
  <si>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</si>
  <si>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</si>
  <si>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</si>
  <si>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</si>
  <si>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</si>
  <si>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</si>
  <si>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</si>
  <si>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</si>
  <si>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</si>
  <si>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</si>
  <si>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</si>
  <si>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</si>
  <si>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</si>
  <si>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</si>
  <si>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</si>
  <si>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</si>
  <si>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</si>
  <si>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</si>
  <si>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</si>
  <si>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</si>
  <si>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</si>
  <si>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</si>
  <si>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</si>
  <si>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</si>
  <si>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</si>
  <si>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</si>
  <si>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</si>
  <si>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</si>
  <si>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</si>
  <si>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</si>
  <si>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</si>
  <si>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</si>
  <si>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</si>
  <si>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</si>
  <si>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</si>
  <si>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</si>
  <si>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</si>
  <si>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</si>
  <si>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</si>
  <si>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</si>
  <si>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</si>
  <si>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</si>
  <si>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</si>
  <si>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</si>
  <si>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</si>
  <si>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</si>
  <si>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</si>
  <si>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</si>
  <si>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</si>
  <si>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</si>
  <si>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</si>
  <si>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</si>
  <si>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</si>
  <si>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</si>
  <si>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</si>
  <si>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</si>
  <si>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</si>
  <si>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</si>
  <si>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</si>
  <si>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</si>
  <si>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</si>
  <si>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</si>
  <si>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</si>
  <si>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</si>
  <si>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</si>
  <si>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</si>
  <si>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</si>
  <si>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</si>
  <si>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</si>
  <si>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</si>
  <si>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</si>
  <si>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</si>
  <si>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</si>
  <si>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</si>
  <si>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</si>
  <si>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</si>
  <si>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</si>
  <si>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</si>
  <si>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</si>
  <si>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</si>
  <si>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</si>
  <si>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</si>
  <si>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</si>
  <si>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</si>
  <si>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</si>
  <si>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</si>
  <si>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</si>
  <si>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</si>
  <si>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</si>
  <si>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</si>
  <si>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</si>
  <si>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</si>
  <si>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</si>
  <si>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</si>
  <si>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</si>
  <si>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</si>
  <si>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</si>
  <si>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</si>
  <si>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</si>
  <si>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</si>
  <si>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</si>
  <si>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</si>
  <si>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</si>
  <si>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</si>
  <si>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</si>
  <si>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</si>
  <si>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</si>
  <si>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</si>
  <si>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</si>
  <si>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</si>
  <si>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</si>
  <si>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</si>
  <si>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</si>
  <si>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</si>
  <si>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</si>
  <si>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</si>
  <si>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</si>
  <si>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</si>
  <si>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</si>
  <si>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</si>
  <si>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</si>
  <si>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</si>
  <si>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</si>
  <si>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</si>
  <si>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</si>
  <si>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</si>
  <si>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</si>
  <si>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</si>
  <si>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</si>
  <si>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</si>
  <si>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</si>
  <si>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</si>
  <si>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</si>
  <si>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</si>
  <si>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</si>
  <si>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</si>
  <si>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</si>
  <si>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</si>
  <si>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</si>
  <si>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</si>
  <si>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</si>
  <si>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</si>
  <si>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</si>
  <si>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</si>
  <si>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</si>
  <si>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</si>
  <si>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</si>
  <si>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</si>
  <si>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</si>
  <si>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</si>
  <si>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</si>
  <si>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</si>
  <si>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</si>
  <si>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</si>
  <si>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</si>
  <si>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</si>
  <si>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</si>
  <si>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</si>
  <si>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</si>
  <si>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</si>
  <si>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</si>
  <si>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</si>
  <si>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</si>
  <si>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</si>
  <si>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</si>
  <si>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</si>
  <si>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</si>
  <si>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</si>
  <si>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</si>
  <si>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</si>
  <si>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</si>
  <si>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</si>
  <si>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</si>
  <si>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</si>
  <si>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</si>
  <si>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</si>
  <si>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</si>
  <si>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</si>
  <si>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</si>
  <si>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</si>
  <si>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</si>
  <si>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</si>
  <si>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</si>
  <si>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</si>
  <si>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</si>
  <si>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</si>
  <si>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</si>
  <si>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</si>
  <si>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</si>
  <si>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</si>
  <si>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</si>
  <si>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</si>
  <si>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</si>
  <si>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</si>
  <si>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</si>
  <si>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</si>
  <si>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</si>
  <si>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</si>
  <si>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</si>
  <si>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</si>
  <si>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</si>
  <si>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</si>
  <si>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</si>
  <si>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</si>
  <si>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</si>
  <si>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</si>
  <si>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</si>
  <si>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</si>
  <si>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</si>
  <si>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</si>
  <si>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</si>
  <si>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</si>
  <si>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</si>
  <si>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</si>
  <si>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</si>
  <si>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</si>
  <si>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</si>
  <si>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</si>
  <si>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</si>
  <si>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</si>
  <si>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</si>
  <si>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</si>
  <si>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</si>
  <si>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</si>
  <si>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</si>
  <si>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</si>
  <si>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</si>
  <si>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</si>
  <si>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</si>
  <si>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</si>
  <si>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</si>
  <si>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</si>
  <si>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</si>
  <si>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</si>
  <si>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</si>
  <si>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</si>
  <si>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</si>
  <si>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</si>
  <si>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</si>
  <si>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</si>
  <si>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</si>
  <si>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</si>
  <si>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</si>
  <si>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</si>
  <si>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</si>
  <si>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</si>
  <si>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</si>
  <si>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</si>
  <si>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</si>
  <si>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</si>
  <si>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</si>
  <si>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</si>
  <si>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</si>
  <si>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</si>
  <si>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</si>
  <si>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</si>
  <si>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</si>
  <si>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</si>
  <si>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</si>
  <si>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</si>
  <si>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</si>
  <si>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</si>
  <si>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</si>
  <si>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</si>
  <si>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</si>
  <si>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</si>
  <si>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</si>
  <si>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</si>
  <si>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</si>
  <si>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</si>
  <si>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</si>
  <si>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</si>
  <si>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</si>
  <si>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</si>
  <si>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</si>
  <si>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</si>
  <si>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</si>
  <si>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</si>
  <si>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</si>
  <si>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</si>
  <si>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</si>
  <si>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</si>
  <si>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</si>
  <si>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</si>
  <si>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</si>
  <si>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</si>
  <si>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</si>
  <si>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</si>
  <si>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</si>
  <si>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</si>
  <si>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</si>
  <si>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</si>
  <si>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</si>
  <si>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</si>
  <si>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</si>
  <si>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</si>
  <si>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</si>
  <si>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</si>
  <si>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</si>
  <si>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</si>
  <si>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</si>
  <si>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</si>
  <si>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</si>
  <si>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</si>
  <si>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</si>
  <si>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</si>
  <si>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</si>
  <si>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</si>
  <si>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</si>
  <si>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</si>
  <si>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</si>
  <si>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</si>
  <si>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</si>
  <si>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</si>
  <si>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</si>
  <si>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</si>
  <si>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</si>
  <si>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</si>
  <si>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</si>
  <si>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</si>
  <si>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</si>
  <si>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</si>
  <si>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</si>
  <si>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</si>
  <si>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</si>
  <si>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</si>
  <si>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</si>
  <si>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</si>
  <si>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</si>
  <si>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</si>
  <si>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</si>
  <si>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</si>
  <si>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</si>
  <si>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</si>
  <si>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</si>
  <si>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</si>
  <si>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</si>
  <si>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</si>
  <si>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</si>
  <si>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</si>
  <si>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</si>
  <si>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</si>
  <si>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</si>
  <si>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</si>
  <si>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</si>
  <si>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</si>
  <si>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</si>
  <si>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</si>
  <si>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</si>
  <si>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</si>
  <si>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</si>
  <si>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</si>
  <si>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</si>
  <si>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</si>
  <si>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</si>
  <si>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</si>
  <si>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</si>
  <si>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</si>
  <si>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</si>
  <si>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</si>
  <si>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</si>
  <si>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</si>
  <si>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</si>
  <si>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</si>
  <si>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</si>
  <si>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</si>
  <si>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</si>
  <si>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</si>
  <si>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</si>
  <si>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</si>
  <si>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</si>
  <si>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</si>
  <si>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</si>
  <si>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</si>
  <si>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</si>
  <si>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</si>
  <si>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</si>
  <si>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</si>
  <si>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</si>
  <si>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</si>
  <si>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</si>
  <si>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</si>
  <si>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</si>
  <si>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</si>
  <si>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</si>
  <si>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</si>
  <si>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</si>
  <si>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</si>
  <si>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</si>
  <si>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</si>
  <si>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</si>
  <si>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</si>
  <si>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</si>
  <si>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</si>
  <si>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</si>
  <si>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</si>
  <si>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</si>
  <si>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</si>
  <si>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</si>
  <si>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</si>
  <si>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</si>
  <si>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</si>
  <si>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</si>
  <si>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</si>
  <si>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</si>
  <si>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</si>
  <si>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</si>
  <si>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</si>
  <si>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</si>
  <si>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</si>
  <si>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</si>
  <si>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</si>
  <si>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</si>
  <si>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</si>
  <si>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</si>
  <si>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</si>
  <si>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</si>
  <si>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</si>
  <si>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</si>
  <si>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</si>
  <si>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</si>
  <si>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</si>
  <si>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</si>
  <si>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</si>
  <si>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</si>
  <si>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</si>
  <si>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</si>
  <si>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</si>
  <si>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</si>
  <si>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</si>
  <si>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</si>
  <si>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</si>
  <si>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</si>
  <si>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</si>
  <si>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</si>
  <si>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</si>
  <si>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</si>
  <si>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</si>
  <si>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</si>
  <si>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</si>
  <si>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</si>
  <si>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</si>
  <si>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</si>
  <si>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</si>
  <si>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</si>
  <si>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</si>
  <si>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</si>
  <si>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</si>
  <si>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</si>
  <si>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</si>
  <si>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</si>
  <si>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</si>
  <si>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</si>
  <si>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</si>
  <si>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</si>
  <si>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</si>
  <si>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</si>
  <si>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</si>
  <si>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</si>
  <si>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</si>
  <si>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</si>
  <si>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</si>
  <si>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</si>
  <si>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</si>
  <si>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</si>
  <si>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</si>
  <si>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</si>
  <si>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</si>
  <si>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</si>
  <si>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</si>
  <si>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</si>
  <si>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</si>
  <si>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</si>
  <si>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</si>
  <si>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</si>
  <si>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</si>
  <si>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</si>
  <si>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</si>
  <si>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</si>
  <si>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</si>
  <si>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</si>
  <si>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</si>
  <si>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</si>
  <si>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</si>
  <si>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</si>
  <si>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</si>
  <si>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</si>
  <si>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</si>
  <si>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</si>
  <si>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</si>
  <si>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</si>
  <si>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</si>
  <si>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</si>
  <si>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</si>
  <si>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</si>
  <si>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</si>
  <si>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</si>
  <si>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</si>
  <si>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</si>
  <si>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</si>
  <si>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</si>
  <si>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</si>
  <si>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</si>
  <si>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</si>
  <si>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</si>
  <si>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</si>
  <si>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</si>
  <si>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</si>
  <si>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</si>
  <si>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</si>
  <si>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</si>
  <si>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</si>
  <si>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</si>
  <si>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</si>
  <si>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</si>
  <si>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</si>
  <si>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</si>
  <si>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</si>
  <si>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</si>
  <si>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</si>
  <si>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</si>
  <si>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</si>
  <si>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</si>
  <si>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</si>
  <si>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</si>
  <si>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</si>
  <si>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</si>
  <si>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</si>
  <si>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</si>
  <si>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</si>
  <si>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</si>
  <si>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</si>
  <si>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</si>
  <si>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</si>
  <si>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</si>
  <si>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</si>
  <si>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</si>
  <si>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</si>
  <si>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</si>
  <si>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</si>
  <si>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</si>
  <si>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</si>
  <si>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</si>
  <si>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</si>
  <si>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</si>
  <si>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</si>
  <si>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</si>
  <si>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</si>
  <si>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</si>
  <si>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</si>
  <si>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</si>
  <si>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</si>
  <si>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</si>
  <si>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</si>
  <si>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</si>
  <si>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</si>
  <si>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</si>
  <si>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</si>
  <si>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</si>
  <si>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</si>
  <si>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</si>
  <si>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</si>
  <si>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</si>
  <si>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</si>
  <si>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</si>
  <si>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</si>
  <si>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</si>
  <si>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</si>
  <si>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</si>
  <si>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</si>
  <si>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</si>
  <si>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</si>
  <si>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</si>
  <si>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</si>
  <si>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</si>
  <si>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</si>
  <si>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</si>
  <si>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</si>
  <si>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</si>
  <si>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</si>
  <si>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</si>
  <si>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</si>
  <si>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</si>
  <si>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</si>
  <si>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</si>
  <si>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</si>
  <si>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</si>
  <si>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</si>
  <si>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</si>
  <si>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</si>
  <si>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</si>
  <si>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</si>
  <si>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</si>
  <si>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</si>
  <si>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</si>
  <si>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</si>
  <si>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</si>
  <si>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</si>
  <si>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</si>
  <si>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</si>
  <si>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</si>
  <si>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</si>
  <si>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</si>
  <si>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</si>
  <si>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</si>
  <si>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</si>
  <si>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</si>
  <si>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</si>
  <si>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</si>
  <si>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</si>
  <si>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</si>
  <si>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</si>
  <si>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</si>
  <si>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</si>
  <si>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</si>
  <si>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</si>
  <si>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</si>
  <si>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</si>
  <si>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</si>
  <si>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</si>
  <si>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</si>
  <si>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</si>
  <si>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</si>
  <si>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</si>
  <si>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</si>
  <si>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</si>
  <si>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</si>
  <si>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</si>
  <si>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</si>
  <si>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</si>
  <si>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</si>
  <si>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</si>
  <si>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</si>
  <si>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</si>
  <si>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</si>
  <si>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</si>
  <si>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</si>
  <si>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</si>
  <si>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</si>
  <si>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</si>
  <si>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</si>
  <si>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</si>
  <si>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</si>
  <si>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</si>
  <si>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</si>
  <si>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</si>
  <si>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</si>
  <si>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</si>
  <si>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</si>
  <si>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</si>
  <si>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</si>
  <si>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</si>
  <si>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</si>
  <si>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</si>
  <si>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</si>
  <si>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</si>
  <si>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</si>
  <si>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</si>
  <si>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</si>
  <si>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</si>
  <si>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</si>
  <si>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</si>
  <si>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</si>
  <si>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</si>
  <si>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</si>
  <si>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</si>
  <si>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</si>
  <si>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</si>
  <si>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</si>
  <si>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</si>
  <si>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</si>
  <si>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</si>
  <si>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</si>
  <si>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</si>
  <si>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</si>
  <si>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</si>
  <si>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</si>
  <si>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</si>
  <si>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</si>
  <si>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</si>
  <si>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</si>
  <si>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</si>
  <si>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</si>
  <si>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</si>
  <si>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</si>
  <si>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</si>
  <si>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</si>
  <si>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</si>
  <si>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</si>
  <si>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</si>
  <si>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</si>
  <si>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</si>
  <si>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</si>
  <si>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</si>
  <si>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</si>
  <si>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</si>
  <si>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</si>
  <si>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</si>
  <si>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</si>
  <si>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</si>
  <si>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</si>
  <si>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</si>
  <si>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</si>
  <si>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</si>
  <si>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</si>
  <si>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</si>
  <si>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</si>
  <si>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</si>
  <si>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</si>
  <si>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</si>
  <si>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</si>
  <si>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</si>
  <si>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</si>
  <si>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</si>
  <si>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</si>
  <si>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</si>
  <si>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</si>
  <si>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</si>
  <si>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</si>
  <si>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</si>
  <si>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</si>
  <si>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</si>
  <si>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</si>
  <si>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</si>
  <si>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</si>
  <si>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</si>
  <si>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</si>
  <si>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</si>
  <si>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</si>
  <si>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</si>
  <si>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</si>
  <si>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</si>
  <si>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</si>
  <si>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</si>
  <si>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</si>
  <si>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</si>
  <si>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</si>
  <si>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</si>
  <si>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</si>
  <si>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</si>
  <si>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</si>
  <si>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</si>
  <si>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</si>
  <si>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</si>
  <si>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</si>
  <si>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</si>
  <si>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</si>
  <si>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</si>
  <si>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</si>
  <si>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</si>
  <si>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</si>
  <si>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</si>
  <si>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</si>
  <si>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</si>
  <si>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</si>
  <si>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</si>
  <si>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</si>
  <si>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</si>
  <si>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</si>
  <si>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</si>
  <si>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</si>
  <si>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</si>
  <si>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</si>
  <si>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</si>
  <si>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</si>
  <si>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</si>
  <si>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</si>
  <si>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</si>
  <si>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</si>
  <si>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</si>
  <si>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</si>
  <si>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</si>
  <si>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</si>
  <si>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</si>
  <si>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</si>
  <si>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</si>
  <si>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</si>
  <si>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</si>
  <si>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</si>
  <si>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</si>
  <si>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</si>
  <si>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</si>
  <si>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</si>
  <si>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</si>
  <si>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</si>
  <si>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</si>
  <si>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</si>
  <si>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</si>
  <si>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</si>
  <si>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</si>
  <si>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</si>
  <si>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</si>
  <si>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</si>
  <si>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</si>
  <si>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</si>
  <si>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</si>
  <si>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</si>
  <si>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</si>
  <si>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</si>
  <si>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</si>
  <si>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</si>
  <si>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</si>
  <si>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</si>
  <si>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</si>
  <si>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</si>
  <si>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</si>
  <si>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</si>
  <si>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</si>
  <si>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</si>
  <si>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</si>
  <si>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</si>
  <si>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</si>
  <si>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</si>
  <si>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</si>
  <si>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</si>
  <si>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</si>
  <si>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</si>
  <si>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</si>
  <si>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</si>
  <si>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</si>
  <si>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</si>
  <si>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</si>
  <si>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</si>
  <si>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</si>
  <si>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</si>
  <si>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</si>
  <si>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</si>
  <si>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</si>
  <si>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</si>
  <si>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</si>
  <si>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</si>
  <si>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</si>
  <si>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</si>
  <si>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</si>
  <si>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</si>
  <si>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</si>
  <si>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</si>
  <si>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</si>
  <si>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</si>
  <si>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</si>
  <si>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</si>
  <si>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</si>
  <si>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</si>
  <si>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</si>
  <si>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</si>
  <si>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</si>
  <si>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</si>
  <si>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</si>
  <si>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</si>
  <si>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</si>
  <si>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</si>
  <si>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</si>
  <si>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</si>
  <si>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</si>
  <si>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</si>
  <si>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</si>
  <si>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</si>
  <si>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</si>
  <si>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</si>
  <si>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</si>
  <si>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</si>
  <si>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</si>
  <si>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</si>
  <si>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</si>
  <si>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</si>
  <si>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</si>
  <si>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</si>
  <si>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</si>
  <si>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</si>
  <si>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</si>
  <si>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</si>
  <si>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</si>
  <si>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</si>
  <si>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</si>
  <si>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</si>
  <si>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</si>
  <si>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</si>
  <si>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</si>
  <si>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</si>
  <si>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</si>
  <si>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</si>
  <si>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</si>
  <si>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</si>
  <si>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</si>
  <si>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</si>
  <si>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</si>
  <si>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</si>
  <si>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</si>
  <si>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</si>
  <si>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</si>
  <si>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</si>
  <si>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</si>
  <si>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</si>
  <si>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</si>
  <si>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</si>
  <si>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</si>
  <si>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</si>
  <si>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</si>
  <si>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</si>
  <si>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</si>
  <si>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</si>
  <si>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</si>
  <si>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</si>
  <si>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</si>
  <si>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</si>
  <si>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</si>
  <si>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</si>
  <si>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</si>
  <si>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</si>
  <si>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</si>
  <si>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</si>
  <si>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</si>
  <si>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</si>
  <si>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</si>
  <si>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</si>
  <si>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</si>
  <si>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</si>
  <si>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</si>
  <si>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</si>
  <si>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</si>
  <si>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</si>
  <si>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</si>
  <si>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</si>
  <si>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</si>
  <si>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</si>
  <si>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</si>
  <si>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</si>
  <si>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</si>
  <si>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</si>
  <si>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</si>
  <si>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</si>
  <si>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</si>
  <si>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</si>
  <si>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</si>
  <si>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</si>
  <si>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</si>
  <si>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</si>
  <si>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</si>
  <si>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</si>
  <si>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</si>
  <si>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</si>
  <si>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</si>
  <si>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</si>
  <si>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</si>
  <si>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</si>
  <si>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</si>
  <si>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</si>
  <si>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</si>
  <si>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</si>
  <si>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</si>
  <si>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</si>
  <si>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</si>
  <si>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</si>
  <si>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</si>
  <si>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</si>
  <si>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</si>
  <si>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</si>
  <si>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</si>
  <si>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</si>
  <si>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</si>
  <si>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</si>
  <si>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</si>
  <si>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</si>
  <si>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</si>
  <si>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</si>
  <si>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</si>
  <si>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</si>
  <si>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</si>
  <si>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</si>
  <si>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</si>
  <si>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</si>
  <si>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</si>
  <si>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</si>
  <si>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</si>
  <si>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</si>
  <si>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</si>
  <si>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</si>
  <si>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</si>
  <si>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</si>
  <si>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</si>
  <si>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</si>
  <si>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</si>
  <si>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</si>
  <si>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</si>
  <si>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</si>
  <si>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</si>
  <si>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</si>
  <si>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</si>
  <si>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</si>
  <si>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</si>
  <si>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</si>
  <si>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</si>
  <si>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</si>
  <si>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</si>
  <si>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</si>
  <si>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</si>
  <si>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</si>
  <si>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</si>
  <si>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</si>
  <si>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</si>
  <si>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</si>
  <si>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</si>
  <si>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</si>
  <si>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</si>
  <si>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</si>
  <si>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</si>
  <si>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</si>
  <si>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</si>
  <si>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</si>
  <si>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</si>
  <si>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</si>
  <si>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</si>
  <si>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</si>
  <si>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</si>
  <si>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</si>
  <si>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</si>
  <si>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</si>
  <si>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</si>
  <si>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</si>
  <si>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</si>
  <si>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</si>
  <si>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</si>
  <si>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</si>
  <si>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</si>
  <si>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</si>
  <si>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</si>
  <si>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</si>
  <si>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</si>
  <si>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</si>
  <si>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</si>
  <si>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</si>
  <si>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</si>
  <si>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</si>
  <si>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</si>
  <si>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</si>
  <si>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</si>
  <si>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</si>
  <si>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</si>
  <si>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</si>
  <si>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</si>
  <si>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</si>
  <si>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</si>
  <si>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</si>
  <si>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</si>
  <si>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</si>
  <si>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</si>
  <si>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</si>
  <si>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</si>
  <si>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</si>
  <si>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</si>
  <si>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</si>
  <si>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</si>
  <si>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</si>
  <si>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</si>
  <si>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</si>
  <si>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</si>
  <si>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</si>
  <si>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</si>
  <si>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</si>
  <si>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</si>
  <si>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</si>
  <si>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</si>
  <si>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</si>
  <si>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</si>
  <si>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</si>
  <si>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</si>
  <si>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</si>
  <si>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</si>
  <si>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</si>
  <si>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</si>
  <si>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</si>
  <si>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</si>
  <si>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</si>
  <si>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</si>
  <si>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</si>
  <si>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</si>
  <si>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</si>
  <si>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</si>
  <si>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</si>
  <si>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</si>
  <si>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</si>
  <si>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</si>
  <si>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</si>
  <si>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</si>
  <si>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</si>
  <si>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</si>
  <si>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</si>
  <si>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</si>
  <si>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</si>
  <si>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</si>
  <si>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</si>
  <si>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</si>
  <si>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</si>
  <si>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</si>
  <si>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</si>
  <si>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</si>
  <si>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</si>
  <si>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</si>
  <si>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</si>
  <si>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</si>
  <si>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</si>
  <si>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</si>
  <si>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</si>
  <si>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</si>
  <si>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</si>
  <si>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</si>
  <si>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</si>
  <si>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</si>
  <si>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</si>
  <si>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</si>
  <si>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</si>
  <si>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</si>
  <si>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</si>
  <si>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</si>
  <si>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</si>
  <si>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</si>
  <si>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</si>
  <si>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</si>
  <si>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</si>
  <si>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</si>
  <si>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</si>
  <si>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</si>
  <si>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</si>
  <si>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</si>
  <si>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</si>
  <si>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</si>
  <si>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</si>
  <si>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</si>
  <si>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</si>
  <si>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</si>
  <si>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</si>
  <si>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</si>
  <si>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</si>
  <si>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</si>
  <si>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</si>
  <si>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</si>
  <si>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</si>
  <si>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</si>
  <si>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</si>
  <si>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</si>
  <si>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</si>
  <si>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</si>
  <si>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</si>
  <si>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</si>
  <si>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</si>
  <si>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</si>
  <si>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</si>
  <si>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</si>
  <si>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</si>
  <si>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</si>
  <si>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</si>
  <si>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</si>
  <si>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</si>
  <si>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</si>
  <si>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</si>
  <si>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</si>
  <si>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</si>
  <si>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</si>
  <si>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</si>
  <si>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</si>
  <si>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</si>
  <si>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</si>
  <si>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</si>
  <si>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</si>
  <si>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</si>
  <si>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</si>
  <si>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</si>
  <si>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</si>
  <si>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</si>
  <si>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</si>
  <si>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</si>
  <si>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</si>
  <si>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</si>
  <si>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</si>
  <si>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</si>
  <si>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</si>
  <si>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</si>
  <si>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</si>
  <si>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</si>
  <si>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</si>
  <si>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</si>
  <si>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</si>
  <si>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</si>
  <si>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</si>
  <si>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</si>
  <si>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</si>
  <si>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</si>
  <si>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</si>
  <si>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</si>
  <si>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</si>
  <si>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</si>
  <si>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</si>
  <si>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</si>
  <si>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</si>
  <si>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</si>
  <si>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</si>
  <si>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</si>
  <si>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</si>
  <si>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</si>
  <si>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</si>
  <si>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</si>
  <si>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</si>
  <si>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</si>
  <si>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</si>
  <si>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</si>
  <si>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</si>
  <si>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</si>
  <si>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</si>
  <si>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</si>
  <si>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</si>
  <si>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</si>
  <si>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</si>
  <si>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</si>
  <si>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</si>
  <si>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</si>
  <si>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</si>
  <si>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</si>
  <si>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</si>
  <si>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</si>
  <si>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</si>
  <si>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</si>
  <si>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</si>
  <si>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</si>
  <si>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</si>
  <si>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</si>
  <si>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</si>
  <si>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</si>
  <si>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</si>
  <si>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</si>
  <si>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</si>
  <si>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</si>
  <si>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</si>
  <si>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</si>
  <si>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</si>
  <si>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</si>
  <si>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</si>
  <si>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</si>
  <si>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</si>
  <si>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</si>
  <si>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</si>
  <si>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</si>
  <si>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</si>
  <si>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</si>
  <si>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</si>
  <si>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</si>
  <si>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</si>
  <si>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</si>
  <si>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</si>
  <si>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</si>
  <si>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</si>
  <si>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</si>
  <si>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</si>
  <si>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</si>
  <si>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</si>
  <si>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</si>
  <si>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</si>
  <si>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</si>
  <si>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</si>
  <si>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</si>
  <si>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</si>
  <si>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</si>
  <si>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</si>
  <si>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</si>
  <si>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</si>
  <si>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</si>
  <si>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</si>
  <si>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</si>
  <si>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</si>
  <si>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</si>
  <si>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</si>
  <si>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</si>
  <si>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</si>
  <si>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</si>
  <si>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</si>
  <si>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</si>
  <si>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</si>
  <si>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</si>
  <si>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</si>
  <si>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</si>
  <si>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</si>
  <si>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</si>
  <si>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</si>
  <si>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</si>
  <si>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</si>
  <si>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</si>
  <si>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</si>
  <si>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</si>
  <si>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</si>
  <si>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</si>
  <si>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</si>
  <si>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</si>
  <si>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</si>
  <si>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</si>
  <si>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</si>
  <si>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</si>
  <si>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</si>
  <si>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</si>
  <si>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</si>
  <si>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</si>
  <si>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</si>
  <si>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</si>
  <si>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</si>
  <si>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</si>
  <si>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</si>
  <si>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</si>
  <si>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</si>
  <si>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</si>
  <si>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</si>
  <si>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</si>
  <si>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</si>
  <si>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</si>
  <si>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</si>
  <si>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</si>
  <si>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</si>
  <si>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</si>
  <si>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</si>
  <si>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</si>
  <si>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</si>
  <si>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</si>
  <si>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</si>
  <si>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</si>
  <si>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</si>
  <si>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</si>
  <si>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</si>
  <si>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</si>
  <si>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</si>
  <si>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</si>
  <si>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</si>
  <si>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</si>
  <si>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</si>
  <si>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</si>
  <si>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</si>
  <si>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</si>
  <si>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</si>
  <si>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</si>
  <si>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</si>
  <si>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</si>
  <si>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</si>
  <si>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</si>
  <si>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</si>
  <si>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</si>
  <si>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</si>
  <si>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</si>
  <si>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</si>
  <si>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</si>
  <si>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</si>
  <si>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</si>
  <si>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</si>
  <si>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</si>
  <si>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</si>
  <si>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</si>
  <si>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</si>
  <si>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</si>
  <si>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</si>
  <si>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</si>
  <si>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</si>
  <si>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</si>
  <si>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</si>
  <si>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</si>
  <si>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</si>
  <si>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</si>
  <si>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</si>
  <si>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</si>
  <si>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</si>
  <si>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</si>
  <si>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</si>
  <si>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</si>
  <si>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</si>
  <si>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</si>
  <si>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</si>
  <si>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</si>
  <si>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</si>
  <si>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</si>
  <si>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</si>
  <si>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</si>
  <si>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</si>
  <si>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</si>
  <si>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</si>
  <si>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</si>
  <si>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</si>
  <si>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</si>
  <si>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</si>
  <si>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</si>
  <si>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</si>
  <si>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</si>
  <si>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</si>
  <si>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</si>
  <si>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</si>
  <si>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</si>
  <si>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</si>
  <si>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</si>
  <si>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</si>
  <si>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</si>
  <si>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</si>
  <si>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</si>
  <si>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</si>
  <si>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</si>
  <si>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</si>
  <si>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</si>
  <si>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</si>
  <si>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</si>
  <si>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</si>
  <si>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</si>
  <si>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</si>
  <si>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</si>
  <si>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</si>
  <si>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</si>
  <si>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</si>
  <si>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</si>
  <si>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</si>
  <si>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</si>
  <si>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</si>
  <si>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</si>
  <si>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</si>
  <si>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</si>
  <si>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</si>
  <si>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</si>
  <si>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</si>
  <si>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</si>
  <si>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</si>
  <si>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</si>
  <si>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</si>
  <si>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</si>
  <si>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</si>
  <si>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</si>
  <si>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</si>
  <si>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</si>
  <si>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</si>
  <si>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</si>
  <si>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</si>
  <si>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</si>
  <si>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</si>
  <si>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</si>
  <si>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</si>
  <si>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</si>
  <si>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</si>
  <si>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</si>
  <si>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</si>
  <si>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</si>
  <si>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</si>
  <si>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</si>
  <si>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</si>
  <si>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</si>
  <si>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</si>
  <si>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</si>
  <si>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</si>
  <si>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</si>
  <si>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</si>
  <si>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</si>
  <si>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</si>
  <si>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</si>
  <si>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</si>
  <si>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</si>
  <si>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</si>
  <si>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</si>
  <si>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</si>
  <si>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</si>
  <si>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</si>
  <si>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</si>
  <si>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</si>
  <si>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</si>
  <si>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</si>
  <si>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</si>
  <si>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</si>
  <si>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</si>
  <si>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</si>
  <si>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</si>
  <si>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</si>
  <si>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</si>
  <si>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</si>
  <si>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</si>
  <si>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</si>
  <si>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</si>
  <si>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</si>
  <si>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</si>
  <si>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</si>
  <si>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</si>
  <si>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</si>
  <si>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</si>
  <si>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</si>
  <si>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</si>
  <si>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</si>
  <si>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</si>
  <si>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</si>
  <si>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</si>
  <si>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</si>
  <si>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</si>
  <si>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</si>
  <si>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</si>
  <si>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</si>
  <si>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</si>
  <si>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</si>
  <si>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</si>
  <si>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</si>
  <si>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</si>
  <si>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</si>
  <si>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</si>
  <si>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</si>
  <si>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</si>
  <si>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</si>
  <si>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</si>
  <si>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</si>
  <si>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</si>
  <si>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</si>
  <si>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</si>
  <si>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</si>
  <si>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</si>
  <si>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</si>
  <si>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</si>
  <si>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</si>
  <si>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</si>
  <si>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</si>
  <si>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</si>
  <si>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</si>
  <si>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</si>
  <si>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</si>
  <si>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</si>
  <si>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</si>
  <si>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</si>
  <si>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</si>
  <si>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</si>
  <si>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</si>
  <si>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</si>
  <si>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</si>
  <si>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</si>
  <si>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</si>
  <si>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</si>
  <si>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</si>
  <si>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</si>
  <si>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</si>
  <si>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</si>
  <si>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</si>
  <si>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</si>
  <si>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</si>
  <si>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</si>
  <si>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</si>
  <si>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</si>
  <si>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</si>
  <si>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</si>
  <si>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</si>
  <si>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</si>
  <si>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</si>
  <si>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</si>
  <si>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</si>
  <si>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</si>
  <si>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</si>
  <si>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</si>
  <si>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</si>
  <si>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</si>
  <si>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</si>
  <si>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</si>
  <si>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</si>
  <si>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</si>
  <si>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</si>
  <si>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</si>
  <si>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</si>
  <si>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</si>
  <si>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</si>
  <si>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</si>
  <si>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</si>
  <si>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</si>
  <si>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</si>
  <si>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</si>
  <si>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</si>
  <si>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</si>
  <si>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</si>
  <si>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</si>
  <si>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</si>
  <si>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</si>
  <si>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</si>
  <si>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</si>
  <si>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</si>
  <si>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</si>
  <si>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</si>
  <si>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</si>
  <si>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</si>
  <si>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</si>
  <si>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</si>
  <si>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</si>
  <si>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</si>
  <si>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</si>
  <si>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</si>
  <si>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</si>
  <si>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</si>
  <si>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</si>
  <si>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</si>
  <si>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</si>
  <si>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</si>
  <si>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</si>
  <si>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</si>
  <si>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</si>
  <si>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</si>
  <si>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</si>
  <si>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</si>
  <si>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</si>
  <si>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</si>
  <si>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</si>
  <si>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</si>
  <si>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</si>
  <si>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</si>
  <si>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</si>
  <si>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</si>
  <si>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</si>
  <si>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</si>
  <si>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</si>
  <si>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</si>
  <si>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</si>
  <si>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</si>
  <si>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</si>
  <si>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</si>
  <si>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</si>
  <si>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</si>
  <si>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</si>
  <si>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</si>
  <si>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</si>
  <si>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</si>
  <si>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</si>
  <si>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</si>
  <si>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</si>
  <si>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</si>
  <si>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</si>
  <si>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</si>
  <si>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</si>
  <si>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</si>
  <si>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</si>
  <si>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</si>
  <si>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</si>
  <si>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</si>
  <si>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</si>
  <si>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</si>
  <si>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</si>
  <si>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</si>
  <si>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</si>
  <si>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</si>
  <si>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</si>
  <si>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</si>
  <si>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</si>
  <si>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</si>
  <si>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</si>
  <si>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</si>
  <si>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</si>
  <si>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</si>
  <si>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</si>
  <si>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</si>
  <si>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</si>
  <si>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</si>
  <si>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</si>
  <si>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</si>
  <si>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</si>
  <si>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</si>
  <si>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</si>
  <si>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</si>
  <si>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</si>
  <si>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</si>
  <si>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</si>
  <si>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</si>
  <si>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</si>
  <si>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</si>
  <si>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</si>
  <si>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</si>
  <si>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</si>
  <si>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</si>
  <si>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</si>
  <si>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</si>
  <si>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</si>
  <si>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</si>
  <si>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</si>
  <si>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</si>
  <si>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</si>
  <si>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</si>
  <si>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</si>
  <si>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</si>
  <si>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</si>
  <si>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</si>
  <si>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</si>
  <si>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</si>
  <si>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</si>
  <si>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</si>
  <si>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</si>
  <si>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</si>
  <si>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</si>
  <si>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</si>
  <si>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</si>
  <si>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</si>
  <si>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</si>
  <si>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</si>
  <si>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</si>
  <si>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</si>
  <si>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</si>
  <si>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</si>
  <si>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</si>
  <si>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</si>
  <si>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</si>
  <si>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</si>
  <si>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</si>
  <si>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</si>
  <si>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</si>
  <si>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</si>
  <si>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</si>
  <si>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</si>
  <si>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</si>
  <si>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</si>
  <si>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</si>
  <si>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</si>
  <si>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</si>
  <si>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</si>
  <si>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</si>
  <si>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</si>
  <si>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</si>
  <si>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</si>
  <si>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</si>
  <si>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</si>
  <si>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</si>
  <si>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</si>
  <si>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</si>
  <si>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</si>
  <si>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</si>
  <si>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</si>
  <si>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</si>
  <si>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</si>
  <si>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</si>
  <si>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</si>
  <si>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</si>
  <si>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</si>
  <si>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</si>
  <si>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</si>
  <si>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</si>
  <si>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</si>
  <si>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</si>
  <si>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</si>
  <si>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</si>
  <si>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</si>
  <si>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</si>
  <si>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</si>
  <si>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</si>
  <si>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</si>
  <si>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</si>
  <si>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</si>
  <si>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</si>
  <si>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</si>
  <si>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</si>
  <si>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</si>
  <si>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</si>
  <si>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</si>
  <si>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</si>
  <si>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</si>
  <si>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</si>
  <si>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</si>
  <si>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</si>
  <si>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</si>
  <si>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</si>
  <si>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</si>
  <si>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</si>
  <si>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</si>
  <si>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</si>
  <si>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</si>
  <si>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</si>
  <si>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</si>
  <si>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</si>
  <si>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</si>
  <si>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</si>
  <si>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</si>
  <si>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</si>
  <si>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</si>
  <si>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</si>
  <si>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</si>
  <si>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</si>
  <si>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</si>
  <si>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</si>
  <si>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</si>
  <si>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</si>
  <si>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</si>
  <si>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</si>
  <si>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</si>
  <si>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</si>
  <si>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</si>
  <si>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</si>
  <si>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</si>
  <si>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</si>
  <si>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</si>
  <si>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</si>
  <si>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</si>
  <si>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</si>
  <si>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</si>
  <si>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</si>
  <si>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</si>
  <si>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</si>
  <si>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</si>
  <si>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</si>
  <si>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</si>
  <si>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</si>
  <si>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</si>
  <si>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</si>
  <si>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</si>
  <si>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</si>
  <si>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</si>
  <si>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</si>
  <si>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</si>
  <si>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</si>
  <si>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</si>
  <si>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</si>
  <si>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</si>
  <si>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</si>
  <si>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</si>
  <si>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</si>
  <si>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</si>
  <si>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</si>
  <si>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</si>
  <si>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</si>
  <si>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</si>
  <si>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</si>
  <si>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</si>
  <si>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</si>
  <si>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</si>
  <si>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</si>
  <si>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</si>
  <si>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</si>
  <si>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</si>
  <si>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</si>
  <si>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</si>
  <si>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</si>
  <si>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</si>
  <si>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</si>
  <si>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</si>
  <si>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</si>
  <si>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</si>
  <si>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</si>
  <si>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</si>
  <si>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</si>
  <si>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</si>
  <si>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</si>
  <si>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</si>
  <si>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</si>
  <si>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</si>
  <si>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</si>
  <si>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</si>
  <si>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</si>
  <si>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</si>
  <si>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</si>
  <si>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</si>
  <si>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</si>
  <si>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</si>
  <si>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</si>
  <si>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</si>
  <si>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</si>
  <si>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</si>
  <si>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</si>
  <si>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</si>
  <si>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</si>
  <si>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</si>
  <si>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</si>
  <si>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</si>
  <si>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</si>
  <si>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</si>
  <si>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</si>
  <si>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</si>
  <si>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</si>
  <si>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</si>
  <si>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</si>
  <si>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</si>
  <si>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</si>
  <si>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</si>
  <si>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</si>
  <si>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</si>
  <si>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</si>
  <si>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</si>
  <si>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</si>
  <si>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</si>
  <si>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</si>
  <si>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</si>
  <si>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</si>
  <si>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</si>
  <si>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</si>
  <si>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</si>
  <si>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</si>
  <si>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</si>
  <si>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</si>
  <si>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</si>
  <si>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</si>
  <si>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</si>
  <si>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</si>
  <si>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</si>
  <si>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</si>
  <si>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</si>
  <si>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</si>
  <si>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</si>
  <si>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</si>
  <si>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</si>
  <si>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</si>
  <si>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</si>
  <si>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</si>
  <si>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</si>
  <si>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</si>
  <si>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</si>
  <si>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</si>
  <si>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</si>
  <si>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</si>
  <si>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</si>
  <si>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</si>
  <si>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</si>
  <si>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</si>
  <si>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</si>
  <si>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</si>
  <si>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</si>
  <si>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</si>
  <si>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</si>
  <si>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</si>
  <si>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</si>
  <si>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</si>
  <si>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</si>
  <si>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</si>
  <si>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</si>
  <si>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</si>
  <si>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</si>
  <si>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</si>
  <si>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</si>
  <si>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</si>
  <si>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</si>
  <si>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</si>
  <si>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</si>
  <si>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</si>
  <si>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</si>
  <si>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</si>
  <si>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</si>
  <si>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</si>
  <si>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</si>
  <si>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</si>
  <si>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</si>
  <si>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</si>
  <si>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</si>
  <si>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</si>
  <si>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</si>
  <si>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</si>
  <si>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</si>
  <si>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</si>
  <si>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</si>
  <si>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</si>
  <si>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</si>
  <si>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</si>
  <si>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</si>
  <si>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</si>
  <si>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</si>
  <si>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</si>
  <si>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</si>
  <si>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</si>
  <si>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</si>
  <si>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</si>
  <si>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</si>
  <si>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</si>
  <si>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</si>
  <si>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</si>
  <si>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</si>
  <si>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</si>
  <si>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</si>
  <si>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</si>
  <si>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</si>
  <si>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</si>
  <si>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</si>
  <si>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</si>
  <si>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</si>
  <si>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</si>
  <si>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</si>
  <si>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</si>
  <si>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</si>
  <si>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</si>
  <si>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</si>
  <si>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</si>
  <si>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</si>
  <si>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</si>
  <si>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</si>
  <si>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</si>
  <si>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</si>
  <si>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</si>
  <si>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</si>
  <si>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</si>
  <si>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</si>
  <si>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</si>
  <si>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</si>
  <si>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</si>
  <si>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</si>
  <si>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</si>
  <si>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</si>
  <si>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</si>
  <si>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</si>
  <si>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</si>
  <si>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</si>
  <si>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</si>
  <si>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</si>
  <si>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</si>
  <si>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</si>
  <si>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</si>
  <si>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</si>
  <si>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</si>
  <si>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</si>
  <si>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</si>
  <si>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</si>
  <si>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</si>
  <si>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</si>
  <si>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</si>
  <si>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</si>
  <si>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</si>
  <si>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</si>
  <si>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</si>
  <si>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</si>
  <si>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</si>
  <si>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</si>
  <si>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</si>
  <si>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</si>
  <si>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</si>
  <si>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</si>
  <si>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</si>
  <si>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</si>
  <si>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</si>
  <si>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</si>
  <si>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</si>
  <si>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</si>
  <si>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</si>
  <si>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</si>
  <si>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</si>
  <si>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</si>
  <si>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</si>
  <si>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</si>
  <si>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</si>
  <si>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</si>
  <si>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</si>
  <si>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</si>
  <si>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</si>
  <si>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</si>
  <si>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</si>
  <si>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</si>
  <si>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</si>
  <si>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</si>
  <si>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</si>
  <si>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</si>
  <si>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</si>
  <si>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</si>
  <si>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</si>
  <si>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</si>
  <si>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</si>
  <si>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</si>
  <si>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</si>
  <si>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</si>
  <si>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</si>
  <si>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</si>
  <si>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</si>
  <si>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</si>
  <si>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</si>
  <si>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</si>
  <si>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</si>
  <si>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</si>
  <si>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</si>
  <si>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</si>
  <si>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</si>
  <si>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</si>
  <si>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</si>
  <si>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</si>
  <si>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</si>
  <si>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</si>
  <si>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</si>
  <si>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</si>
  <si>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</si>
  <si>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</si>
  <si>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</si>
  <si>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</si>
  <si>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</si>
  <si>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</si>
  <si>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</si>
  <si>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</si>
  <si>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</si>
  <si>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</si>
  <si>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</si>
  <si>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</si>
  <si>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</si>
  <si>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</si>
  <si>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</si>
  <si>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</si>
  <si>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</si>
  <si>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</si>
  <si>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</si>
  <si>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</si>
  <si>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</si>
  <si>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</si>
  <si>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</si>
  <si>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</si>
  <si>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</si>
  <si>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</si>
  <si>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</si>
  <si>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</si>
  <si>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</si>
  <si>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</si>
  <si>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</si>
  <si>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</si>
  <si>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</si>
  <si>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</si>
  <si>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</si>
  <si>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</si>
  <si>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</si>
  <si>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</si>
  <si>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</si>
  <si>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</si>
  <si>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</si>
  <si>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</si>
  <si>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</si>
  <si>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</si>
  <si>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</si>
  <si>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</si>
  <si>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</si>
  <si>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</si>
  <si>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</si>
  <si>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</si>
  <si>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</si>
  <si>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</si>
  <si>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</si>
  <si>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</si>
  <si>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</si>
  <si>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</si>
  <si>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</si>
  <si>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</si>
  <si>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</si>
  <si>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</si>
  <si>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</si>
  <si>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</si>
  <si>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</si>
  <si>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</si>
  <si>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</si>
  <si>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</si>
  <si>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</si>
  <si>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</si>
  <si>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</si>
  <si>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</si>
  <si>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</si>
  <si>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</si>
  <si>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</si>
  <si>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</si>
  <si>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</si>
  <si>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</si>
  <si>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</si>
  <si>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</si>
  <si>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</si>
  <si>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</si>
  <si>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</si>
  <si>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</si>
  <si>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</si>
  <si>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</si>
  <si>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</si>
  <si>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</si>
  <si>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</si>
  <si>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</si>
  <si>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</si>
  <si>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</si>
  <si>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</si>
  <si>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</si>
  <si>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</si>
  <si>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</si>
  <si>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</si>
  <si>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</si>
  <si>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</si>
  <si>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</si>
  <si>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</si>
  <si>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</si>
  <si>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</si>
  <si>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</si>
  <si>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</si>
  <si>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</si>
  <si>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</si>
  <si>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</si>
  <si>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</si>
  <si>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</si>
  <si>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</si>
  <si>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</si>
  <si>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</si>
  <si>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</si>
  <si>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</si>
  <si>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</si>
  <si>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</si>
  <si>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</si>
  <si>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</si>
  <si>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</si>
  <si>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</si>
  <si>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</si>
  <si>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</si>
  <si>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</si>
  <si>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</si>
  <si>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</si>
  <si>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</si>
  <si>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</si>
  <si>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</si>
  <si>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</si>
  <si>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</si>
  <si>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</si>
  <si>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</si>
  <si>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</si>
  <si>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</si>
  <si>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</si>
  <si>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</si>
  <si>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</si>
  <si>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</si>
  <si>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</si>
  <si>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</si>
  <si>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</si>
  <si>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</si>
  <si>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</si>
  <si>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</si>
  <si>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</si>
  <si>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</si>
  <si>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</si>
  <si>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</si>
  <si>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</si>
  <si>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</si>
  <si>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</si>
  <si>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</si>
  <si>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</si>
  <si>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</si>
  <si>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</si>
  <si>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</si>
  <si>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</si>
  <si>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</si>
  <si>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</si>
  <si>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</si>
  <si>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</si>
  <si>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</si>
  <si>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</si>
  <si>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</si>
  <si>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</si>
  <si>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</si>
  <si>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</si>
  <si>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</si>
  <si>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</si>
  <si>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</si>
  <si>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</si>
  <si>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</si>
  <si>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</si>
  <si>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</si>
  <si>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</si>
  <si>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</si>
  <si>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</si>
  <si>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</si>
  <si>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</si>
  <si>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</si>
  <si>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</si>
  <si>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</si>
  <si>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</si>
  <si>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</si>
  <si>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</si>
  <si>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</si>
  <si>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</si>
  <si>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</si>
  <si>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</si>
  <si>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</si>
  <si>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</si>
  <si>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</si>
  <si>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</si>
  <si>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</si>
  <si>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</si>
  <si>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</si>
  <si>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</si>
  <si>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</si>
  <si>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</si>
  <si>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</si>
  <si>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</si>
  <si>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</si>
  <si>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</si>
  <si>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</si>
  <si>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</si>
  <si>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</si>
  <si>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</si>
  <si>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</si>
  <si>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</si>
  <si>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</si>
  <si>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</si>
  <si>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</si>
  <si>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</si>
  <si>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</si>
  <si>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</si>
  <si>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</si>
  <si>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</si>
  <si>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</si>
  <si>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</si>
  <si>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</si>
  <si>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</si>
  <si>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</si>
  <si>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</si>
  <si>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</si>
  <si>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</si>
  <si>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</si>
  <si>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</si>
  <si>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</si>
  <si>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</si>
  <si>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</si>
  <si>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</si>
  <si>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</si>
  <si>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</si>
  <si>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</si>
  <si>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</si>
  <si>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</si>
  <si>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</si>
  <si>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</si>
  <si>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</si>
  <si>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</si>
  <si>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</si>
  <si>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</si>
  <si>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</si>
  <si>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</si>
  <si>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</si>
  <si>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</si>
  <si>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</si>
  <si>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</si>
  <si>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</si>
  <si>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</si>
  <si>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</si>
  <si>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</si>
  <si>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</si>
  <si>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</si>
  <si>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</si>
  <si>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</si>
  <si>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</si>
  <si>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</si>
  <si>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</si>
  <si>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</si>
  <si>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</si>
  <si>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</si>
  <si>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</si>
  <si>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</si>
  <si>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</si>
  <si>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</si>
  <si>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</si>
  <si>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</si>
  <si>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</si>
  <si>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</si>
  <si>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</si>
  <si>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</si>
  <si>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</si>
  <si>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</si>
  <si>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</si>
  <si>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</si>
  <si>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</si>
  <si>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</si>
  <si>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</si>
  <si>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</si>
  <si>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</si>
  <si>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</si>
  <si>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</si>
  <si>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</si>
  <si>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</si>
  <si>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</si>
  <si>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</si>
  <si>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</si>
  <si>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</si>
  <si>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</si>
  <si>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</si>
  <si>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</si>
  <si>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</si>
  <si>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</si>
  <si>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</si>
  <si>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</si>
  <si>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</si>
  <si>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</si>
  <si>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</si>
  <si>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</si>
  <si>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</si>
  <si>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</si>
  <si>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</si>
  <si>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</si>
  <si>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</si>
  <si>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</si>
  <si>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</si>
  <si>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</si>
  <si>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</si>
  <si>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</si>
  <si>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</si>
  <si>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</si>
  <si>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</si>
  <si>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</si>
  <si>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</si>
  <si>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</si>
  <si>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</si>
  <si>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</si>
  <si>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</si>
  <si>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</si>
  <si>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</si>
  <si>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</si>
  <si>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</si>
  <si>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</si>
  <si>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</si>
  <si>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</si>
  <si>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</si>
  <si>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</si>
  <si>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</si>
  <si>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</si>
  <si>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</si>
  <si>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</si>
  <si>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</si>
  <si>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</si>
  <si>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</si>
  <si>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</si>
  <si>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</si>
  <si>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</si>
  <si>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</si>
  <si>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</si>
  <si>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</si>
  <si>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</si>
  <si>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</si>
  <si>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</si>
  <si>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</si>
  <si>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</si>
  <si>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</si>
  <si>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</si>
  <si>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</si>
  <si>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</si>
  <si>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</si>
  <si>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</si>
  <si>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</si>
  <si>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</si>
  <si>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</si>
  <si>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</si>
  <si>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</si>
  <si>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</si>
  <si>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</si>
  <si>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</si>
  <si>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</si>
  <si>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</si>
  <si>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</si>
  <si>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</si>
  <si>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</si>
  <si>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</si>
  <si>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</si>
  <si>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</si>
  <si>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</si>
  <si>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</si>
  <si>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</si>
  <si>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</si>
  <si>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</si>
  <si>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</si>
  <si>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</si>
  <si>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</si>
  <si>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</si>
  <si>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</si>
  <si>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</si>
  <si>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</si>
  <si>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</si>
  <si>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</si>
  <si>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</si>
  <si>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</si>
  <si>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</si>
  <si>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</si>
  <si>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</si>
  <si>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</si>
  <si>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</si>
  <si>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</si>
  <si>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</si>
  <si>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</si>
  <si>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</si>
  <si>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</si>
  <si>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</si>
  <si>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</si>
  <si>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</si>
  <si>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</si>
  <si>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</si>
  <si>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</si>
  <si>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</si>
  <si>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</si>
  <si>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</si>
  <si>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</si>
  <si>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</si>
  <si>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</si>
  <si>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</si>
  <si>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</si>
  <si>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</si>
  <si>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</si>
  <si>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</si>
  <si>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</si>
  <si>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</si>
  <si>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</si>
  <si>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</si>
  <si>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</si>
  <si>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</si>
  <si>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</si>
  <si>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</si>
  <si>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</si>
  <si>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</si>
  <si>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</si>
  <si>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</si>
  <si>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</si>
  <si>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</si>
  <si>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</si>
  <si>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</si>
  <si>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</si>
  <si>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</si>
  <si>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</si>
  <si>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</si>
  <si>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</si>
  <si>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</si>
  <si>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</si>
  <si>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</si>
  <si>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</si>
  <si>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</si>
  <si>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</si>
  <si>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</si>
  <si>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</si>
  <si>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</si>
  <si>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</si>
  <si>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</si>
  <si>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</si>
  <si>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</si>
  <si>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</si>
  <si>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</si>
  <si>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</si>
  <si>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</si>
  <si>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</si>
  <si>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</si>
  <si>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</si>
  <si>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</si>
  <si>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</si>
  <si>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</si>
  <si>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</si>
  <si>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</si>
  <si>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</si>
  <si>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</si>
  <si>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</si>
  <si>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</si>
  <si>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</si>
  <si>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</si>
  <si>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</si>
  <si>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</si>
  <si>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</si>
  <si>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</si>
  <si>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</si>
  <si>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</si>
  <si>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</si>
  <si>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</si>
  <si>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</si>
  <si>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</si>
  <si>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</si>
  <si>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</si>
  <si>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</si>
  <si>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</si>
  <si>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</si>
  <si>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</si>
  <si>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</si>
  <si>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</si>
  <si>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</si>
  <si>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</si>
  <si>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</si>
  <si>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</si>
  <si>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</si>
  <si>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</si>
  <si>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</si>
  <si>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</si>
  <si>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</si>
  <si>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</si>
  <si>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</si>
  <si>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</si>
  <si>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</si>
  <si>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</si>
  <si>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</si>
  <si>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</si>
  <si>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</si>
  <si>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</si>
  <si>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</si>
  <si>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</si>
  <si>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</si>
  <si>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</si>
  <si>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</si>
  <si>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</si>
  <si>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</si>
  <si>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</si>
  <si>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</si>
  <si>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</si>
  <si>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</si>
  <si>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</si>
  <si>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</si>
  <si>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</si>
  <si>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</si>
  <si>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</si>
  <si>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</si>
  <si>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</si>
  <si>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</si>
  <si>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</si>
  <si>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</si>
  <si>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</si>
  <si>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</si>
  <si>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</si>
  <si>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</si>
  <si>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</si>
  <si>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</si>
  <si>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</si>
  <si>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</si>
  <si>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</si>
  <si>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</si>
  <si>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</si>
  <si>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</si>
  <si>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</si>
  <si>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</si>
  <si>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</si>
  <si>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</si>
  <si>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</si>
  <si>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</si>
  <si>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</si>
  <si>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</si>
  <si>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</si>
  <si>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</si>
  <si>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</si>
  <si>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</si>
  <si>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</si>
  <si>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</si>
  <si>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</si>
  <si>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</si>
  <si>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</si>
  <si>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</si>
  <si>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</si>
  <si>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</si>
  <si>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</si>
  <si>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</si>
  <si>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</si>
  <si>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</si>
  <si>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</si>
  <si>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</si>
  <si>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</si>
  <si>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</si>
  <si>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</si>
  <si>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</si>
  <si>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</si>
  <si>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</si>
  <si>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</si>
  <si>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</si>
  <si>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</si>
  <si>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</si>
  <si>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</si>
  <si>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</si>
  <si>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</si>
  <si>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</si>
  <si>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</si>
  <si>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</si>
  <si>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</si>
  <si>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</si>
  <si>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</si>
  <si>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</si>
  <si>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</si>
  <si>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</si>
  <si>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</si>
  <si>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</si>
  <si>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</si>
  <si>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</si>
  <si>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</si>
  <si>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</si>
  <si>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</si>
  <si>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</si>
  <si>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</si>
  <si>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</si>
  <si>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</si>
  <si>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</si>
  <si>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</si>
  <si>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</si>
  <si>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</si>
  <si>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</si>
  <si>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</si>
  <si>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</si>
  <si>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</si>
  <si>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</si>
  <si>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</si>
  <si>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</si>
  <si>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</si>
  <si>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</si>
  <si>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</si>
  <si>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</si>
  <si>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</si>
  <si>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</si>
  <si>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</si>
  <si>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</si>
  <si>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</si>
  <si>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</si>
  <si>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</si>
  <si>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</si>
  <si>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</si>
  <si>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</si>
  <si>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</si>
  <si>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</si>
  <si>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</si>
  <si>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</si>
  <si>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</si>
  <si>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</si>
  <si>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</si>
  <si>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</si>
  <si>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</si>
  <si>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</si>
  <si>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</si>
  <si>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</si>
  <si>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</si>
  <si>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</si>
  <si>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</si>
  <si>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</si>
  <si>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</si>
  <si>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</si>
  <si>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</si>
  <si>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</si>
  <si>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</si>
  <si>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</si>
  <si>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</si>
  <si>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</si>
  <si>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</si>
  <si>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</si>
  <si>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</si>
  <si>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</si>
  <si>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</si>
  <si>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</si>
  <si>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</si>
  <si>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</si>
  <si>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</si>
  <si>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</si>
  <si>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</si>
  <si>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</si>
  <si>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</si>
  <si>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</si>
  <si>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</si>
  <si>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</si>
  <si>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</si>
  <si>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</si>
  <si>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</si>
  <si>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</si>
  <si>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</si>
  <si>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</si>
  <si>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</si>
  <si>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</si>
  <si>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</si>
  <si>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</si>
  <si>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</si>
  <si>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</si>
  <si>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</si>
  <si>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</si>
  <si>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</si>
  <si>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</si>
  <si>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</si>
  <si>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</si>
  <si>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</si>
  <si>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</si>
  <si>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</si>
  <si>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</si>
  <si>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</si>
  <si>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</si>
  <si>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</si>
  <si>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</si>
  <si>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</si>
  <si>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</si>
  <si>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</si>
  <si>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</si>
  <si>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</si>
  <si>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</si>
  <si>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</si>
  <si>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</si>
  <si>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</si>
  <si>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</si>
  <si>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</si>
  <si>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</si>
  <si>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</si>
  <si>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</si>
  <si>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</si>
  <si>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</si>
  <si>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</si>
  <si>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</si>
  <si>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</si>
  <si>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</si>
  <si>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</si>
  <si>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</si>
  <si>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</si>
  <si>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</si>
  <si>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</si>
  <si>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</si>
  <si>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</si>
  <si>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</si>
  <si>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</si>
  <si>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</si>
  <si>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</si>
  <si>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</si>
  <si>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</si>
  <si>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</si>
  <si>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</si>
  <si>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</si>
  <si>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</si>
  <si>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</si>
  <si>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</si>
  <si>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</si>
  <si>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</si>
  <si>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</si>
  <si>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</si>
  <si>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</si>
  <si>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</si>
  <si>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</si>
  <si>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</si>
  <si>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</si>
  <si>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</si>
  <si>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</si>
  <si>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</si>
  <si>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</si>
  <si>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</si>
  <si>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</si>
  <si>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</si>
  <si>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</si>
  <si>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</si>
  <si>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</si>
  <si>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</si>
  <si>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</si>
  <si>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</si>
  <si>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</si>
  <si>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</si>
  <si>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</si>
  <si>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</si>
  <si>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</si>
  <si>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</si>
  <si>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</si>
  <si>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</si>
  <si>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</si>
  <si>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</si>
  <si>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</si>
  <si>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</si>
  <si>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</si>
  <si>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</si>
  <si>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</si>
  <si>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</si>
  <si>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</si>
  <si>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</si>
  <si>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</si>
  <si>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</si>
  <si>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</si>
  <si>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</si>
  <si>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</si>
  <si>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</si>
  <si>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</si>
  <si>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</si>
  <si>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</si>
  <si>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</si>
  <si>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</si>
  <si>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</si>
  <si>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</si>
  <si>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</si>
  <si>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</si>
  <si>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</si>
  <si>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</si>
  <si>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</si>
  <si>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</si>
  <si>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</si>
  <si>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</si>
  <si>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</si>
  <si>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</si>
  <si>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</si>
  <si>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</si>
  <si>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</si>
  <si>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</si>
  <si>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</si>
  <si>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</si>
  <si>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</si>
  <si>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</si>
  <si>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</si>
  <si>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</si>
  <si>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</si>
  <si>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</si>
  <si>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</si>
  <si>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</si>
  <si>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</si>
  <si>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</si>
  <si>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</si>
  <si>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</si>
  <si>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</si>
  <si>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</si>
  <si>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</si>
  <si>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</si>
  <si>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</si>
  <si>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</si>
  <si>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</si>
  <si>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</si>
  <si>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</si>
  <si>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</si>
  <si>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</si>
  <si>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</si>
  <si>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</si>
  <si>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</si>
  <si>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</si>
  <si>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</si>
  <si>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</si>
  <si>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</si>
  <si>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</si>
  <si>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</si>
  <si>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</si>
  <si>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</si>
  <si>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</si>
  <si>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</si>
  <si>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</si>
  <si>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</si>
  <si>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</si>
  <si>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</si>
  <si>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</si>
  <si>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</si>
  <si>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</si>
  <si>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</si>
  <si>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</si>
  <si>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</si>
  <si>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</si>
  <si>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</si>
  <si>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</si>
  <si>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</si>
  <si>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</si>
  <si>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</si>
  <si>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</si>
  <si>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</si>
  <si>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</si>
  <si>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</si>
  <si>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</si>
  <si>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</si>
  <si>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</si>
  <si>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</si>
  <si>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</si>
  <si>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</si>
  <si>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</si>
  <si>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</si>
  <si>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</si>
  <si>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</si>
  <si>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</si>
  <si>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</si>
  <si>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</si>
  <si>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</si>
  <si>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</si>
  <si>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</si>
  <si>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</si>
  <si>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</si>
  <si>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</si>
  <si>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</si>
  <si>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</si>
  <si>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</si>
  <si>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</si>
  <si>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</si>
  <si>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</si>
  <si>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</si>
  <si>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</si>
  <si>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</si>
  <si>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</si>
  <si>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</si>
  <si>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</si>
  <si>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</si>
  <si>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</si>
  <si>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</si>
  <si>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</si>
  <si>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</si>
  <si>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</si>
  <si>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</si>
  <si>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</si>
  <si>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</si>
  <si>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</si>
  <si>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</si>
  <si>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</si>
  <si>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</si>
  <si>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</si>
  <si>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</si>
  <si>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</si>
  <si>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</si>
  <si>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</si>
  <si>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</si>
  <si>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</si>
  <si>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</si>
  <si>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</si>
  <si>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</si>
  <si>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</si>
  <si>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</si>
  <si>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</si>
  <si>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</si>
  <si>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</si>
  <si>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</si>
  <si>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</si>
  <si>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</si>
  <si>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</si>
  <si>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</si>
  <si>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</si>
  <si>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</si>
  <si>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</si>
  <si>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</si>
  <si>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</si>
  <si>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</si>
  <si>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</si>
  <si>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</si>
  <si>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</si>
  <si>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</si>
  <si>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</si>
  <si>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</si>
  <si>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</si>
  <si>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</si>
  <si>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</si>
  <si>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</si>
  <si>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</si>
  <si>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</si>
  <si>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</si>
  <si>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</si>
  <si>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</si>
  <si>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</si>
  <si>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</si>
  <si>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</si>
  <si>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</si>
  <si>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</si>
  <si>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</si>
  <si>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</si>
  <si>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</si>
  <si>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</si>
  <si>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</si>
  <si>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</si>
  <si>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</si>
  <si>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</si>
  <si>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</si>
  <si>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</si>
  <si>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</si>
  <si>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</si>
  <si>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</si>
  <si>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</si>
  <si>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</si>
  <si>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</si>
  <si>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</si>
  <si>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</si>
  <si>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</si>
  <si>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</si>
  <si>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</si>
  <si>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</si>
  <si>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</si>
  <si>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</si>
  <si>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</si>
  <si>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</si>
  <si>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</si>
  <si>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</si>
  <si>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</si>
  <si>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</si>
  <si>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</si>
  <si>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</si>
  <si>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</si>
  <si>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</si>
  <si>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</si>
  <si>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</si>
  <si>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</si>
  <si>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</si>
  <si>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</si>
  <si>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</si>
  <si>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</si>
  <si>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</si>
  <si>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</si>
  <si>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</si>
  <si>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</si>
  <si>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</si>
  <si>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</si>
  <si>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</si>
  <si>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</si>
  <si>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</si>
  <si>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</si>
  <si>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</si>
  <si>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</si>
  <si>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</si>
  <si>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</si>
  <si>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</si>
  <si>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</si>
  <si>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</si>
  <si>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</si>
  <si>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</si>
  <si>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</si>
  <si>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</si>
  <si>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</si>
  <si>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</si>
  <si>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</si>
  <si>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</si>
  <si>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</si>
  <si>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</si>
  <si>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</si>
  <si>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</si>
  <si>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</si>
  <si>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</si>
  <si>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</si>
  <si>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</si>
  <si>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</si>
  <si>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</si>
  <si>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</si>
  <si>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</si>
  <si>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</si>
  <si>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</si>
  <si>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</si>
  <si>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</si>
  <si>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</si>
  <si>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</si>
  <si>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</si>
  <si>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</si>
  <si>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</si>
  <si>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</si>
  <si>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</si>
  <si>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</si>
  <si>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</si>
  <si>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</si>
  <si>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</si>
  <si>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</si>
  <si>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</si>
  <si>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</si>
  <si>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</si>
  <si>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</si>
  <si>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</si>
  <si>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</si>
  <si>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</si>
  <si>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</si>
  <si>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</si>
  <si>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</si>
  <si>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</si>
  <si>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</si>
  <si>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</si>
  <si>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</si>
  <si>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</si>
  <si>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</si>
  <si>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</si>
  <si>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</si>
  <si>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</si>
  <si>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</si>
  <si>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</si>
  <si>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</si>
  <si>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</si>
  <si>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</si>
  <si>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</si>
  <si>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</si>
  <si>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</si>
  <si>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</si>
  <si>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</si>
  <si>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</si>
  <si>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</si>
  <si>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</si>
  <si>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</si>
  <si>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</si>
  <si>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</si>
  <si>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</si>
  <si>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</si>
  <si>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</si>
  <si>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</si>
  <si>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</si>
  <si>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</si>
  <si>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</si>
  <si>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</si>
  <si>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</si>
  <si>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</si>
  <si>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</si>
  <si>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</si>
  <si>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</si>
  <si>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</si>
  <si>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</si>
  <si>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</si>
  <si>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</si>
  <si>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</si>
  <si>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</si>
  <si>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</si>
  <si>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</si>
  <si>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</si>
  <si>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</si>
  <si>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</si>
  <si>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</si>
  <si>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</si>
  <si>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</si>
  <si>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</si>
  <si>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</si>
  <si>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</si>
  <si>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</si>
  <si>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</si>
  <si>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</si>
  <si>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</si>
  <si>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</si>
  <si>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</si>
  <si>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</si>
  <si>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</si>
  <si>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</si>
  <si>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</si>
  <si>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</si>
  <si>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</si>
  <si>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</si>
  <si>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</si>
  <si>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</si>
  <si>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</si>
  <si>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</si>
  <si>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</si>
  <si>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</si>
  <si>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</si>
  <si>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</si>
  <si>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</si>
  <si>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</si>
  <si>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</si>
  <si>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</si>
  <si>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</si>
  <si>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</si>
  <si>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</si>
  <si>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</si>
  <si>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</si>
  <si>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</si>
  <si>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</si>
  <si>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</si>
  <si>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</si>
  <si>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</si>
  <si>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</si>
  <si>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</si>
  <si>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</si>
  <si>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</si>
  <si>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</si>
  <si>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</si>
  <si>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</si>
  <si>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</si>
  <si>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</si>
  <si>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</si>
  <si>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</si>
  <si>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</si>
  <si>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</si>
  <si>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</si>
  <si>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</si>
  <si>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</si>
  <si>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</si>
  <si>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</si>
  <si>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</si>
  <si>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</si>
  <si>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</si>
  <si>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</si>
  <si>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</si>
  <si>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</si>
  <si>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</si>
  <si>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</si>
  <si>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</si>
  <si>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</si>
  <si>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</si>
  <si>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</si>
  <si>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</si>
  <si>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</si>
  <si>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</si>
  <si>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</si>
  <si>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</si>
  <si>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</si>
  <si>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</si>
  <si>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</si>
  <si>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</si>
  <si>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</si>
  <si>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</si>
  <si>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</si>
  <si>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</si>
  <si>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</si>
  <si>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</si>
  <si>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</si>
  <si>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</si>
  <si>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</si>
  <si>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</si>
  <si>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</si>
  <si>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</si>
  <si>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</si>
  <si>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</si>
  <si>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</si>
  <si>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</si>
  <si>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</si>
  <si>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</si>
  <si>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</si>
  <si>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</si>
  <si>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</si>
  <si>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</si>
  <si>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</si>
  <si>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</si>
  <si>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</si>
  <si>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</si>
  <si>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</si>
  <si>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</si>
  <si>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</si>
  <si>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</si>
  <si>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</si>
  <si>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</si>
  <si>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</si>
  <si>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</si>
  <si>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</si>
  <si>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</si>
  <si>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</si>
  <si>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</si>
  <si>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</si>
  <si>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</si>
  <si>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</si>
  <si>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</si>
  <si>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</si>
  <si>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</si>
  <si>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</si>
  <si>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</si>
  <si>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</si>
  <si>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</si>
  <si>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</si>
  <si>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</si>
  <si>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</si>
  <si>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</si>
  <si>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</si>
  <si>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</si>
  <si>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</si>
  <si>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</si>
  <si>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</si>
  <si>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</si>
  <si>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</si>
  <si>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</si>
  <si>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</si>
  <si>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</si>
  <si>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</si>
  <si>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</si>
  <si>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</si>
  <si>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</si>
  <si>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</si>
  <si>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</si>
  <si>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</si>
  <si>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</si>
  <si>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</si>
  <si>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</si>
  <si>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</si>
  <si>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</si>
  <si>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</si>
  <si>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</si>
  <si>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</si>
  <si>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</si>
  <si>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</si>
  <si>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</si>
  <si>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</si>
  <si>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</si>
  <si>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</si>
  <si>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</si>
  <si>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</si>
  <si>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</si>
  <si>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</si>
  <si>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</si>
  <si>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</si>
  <si>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</si>
  <si>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</si>
  <si>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</si>
  <si>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</si>
  <si>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</si>
  <si>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</si>
  <si>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</si>
  <si>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</si>
  <si>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</si>
  <si>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</si>
  <si>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</si>
  <si>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</si>
  <si>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</si>
  <si>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</si>
  <si>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</si>
  <si>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</si>
  <si>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</si>
  <si>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</si>
  <si>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</si>
  <si>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</si>
  <si>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</si>
  <si>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</si>
  <si>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</si>
  <si>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</si>
  <si>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</si>
  <si>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</si>
  <si>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</si>
  <si>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</si>
  <si>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</si>
  <si>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</si>
  <si>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</si>
  <si>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</si>
  <si>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</si>
  <si>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</si>
  <si>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</si>
  <si>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</si>
  <si>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</si>
  <si>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</si>
  <si>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</si>
  <si>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</si>
  <si>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</si>
  <si>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</si>
  <si>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</si>
  <si>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</si>
  <si>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</si>
  <si>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</si>
  <si>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</si>
  <si>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</si>
  <si>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</si>
  <si>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</si>
  <si>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</si>
  <si>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</si>
  <si>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</si>
  <si>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</si>
  <si>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</si>
  <si>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</si>
  <si>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</si>
  <si>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</si>
  <si>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</si>
  <si>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</si>
  <si>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</si>
  <si>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</si>
  <si>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</si>
  <si>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</si>
  <si>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</si>
  <si>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</si>
  <si>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</si>
  <si>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</si>
  <si>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</si>
  <si>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</si>
  <si>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</si>
  <si>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</si>
  <si>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</si>
  <si>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</si>
  <si>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</si>
  <si>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</si>
  <si>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</si>
  <si>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</si>
  <si>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</si>
  <si>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</si>
  <si>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</si>
  <si>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</si>
  <si>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</si>
  <si>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</si>
  <si>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</si>
  <si>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</si>
  <si>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</si>
  <si>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</si>
  <si>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</si>
  <si>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</si>
  <si>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</si>
  <si>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</si>
  <si>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</si>
  <si>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</si>
  <si>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</si>
  <si>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</si>
  <si>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</si>
  <si>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</si>
  <si>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</si>
  <si>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</si>
  <si>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</si>
  <si>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</si>
  <si>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</si>
  <si>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</si>
  <si>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</si>
  <si>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</si>
  <si>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</si>
  <si>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</si>
  <si>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</si>
  <si>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</si>
  <si>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</si>
  <si>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</si>
  <si>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</si>
  <si>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</si>
  <si>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</si>
  <si>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</si>
  <si>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</si>
  <si>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</si>
  <si>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</si>
  <si>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</si>
  <si>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</si>
  <si>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</si>
  <si>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</si>
  <si>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</si>
  <si>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</si>
  <si>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</si>
  <si>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</si>
  <si>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</si>
  <si>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</si>
  <si>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</si>
  <si>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</si>
  <si>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</si>
  <si>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</si>
  <si>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</si>
  <si>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</si>
  <si>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</si>
  <si>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</si>
  <si>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</si>
  <si>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</si>
  <si>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</si>
  <si>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</si>
  <si>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</si>
  <si>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</si>
  <si>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</si>
  <si>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</si>
  <si>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</si>
  <si>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</si>
  <si>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</si>
  <si>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</si>
  <si>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</si>
  <si>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</si>
  <si>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</si>
  <si>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</si>
  <si>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</si>
  <si>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</si>
  <si>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</si>
  <si>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</si>
  <si>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</si>
  <si>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</si>
  <si>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</si>
  <si>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</si>
  <si>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</si>
  <si>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</si>
  <si>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</si>
  <si>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</si>
  <si>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</si>
  <si>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</si>
  <si>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</si>
  <si>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</si>
  <si>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</si>
  <si>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</si>
  <si>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</si>
  <si>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</si>
  <si>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</si>
  <si>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</si>
  <si>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</si>
  <si>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</si>
  <si>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</si>
  <si>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</si>
  <si>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</si>
  <si>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</si>
  <si>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</si>
  <si>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</si>
  <si>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</si>
  <si>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</si>
  <si>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</si>
  <si>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</si>
  <si>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</si>
  <si>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</si>
  <si>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</si>
  <si>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</si>
  <si>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</si>
  <si>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</si>
  <si>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</si>
  <si>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</si>
  <si>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</si>
  <si>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</si>
  <si>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</si>
  <si>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</si>
  <si>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</si>
  <si>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</si>
  <si>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</si>
  <si>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</si>
  <si>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</si>
  <si>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</si>
  <si>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</si>
  <si>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</si>
  <si>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</si>
  <si>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</si>
  <si>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</si>
  <si>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</si>
  <si>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</si>
  <si>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</si>
  <si>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</si>
  <si>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</si>
  <si>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</si>
  <si>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</si>
  <si>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</si>
  <si>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</si>
  <si>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</si>
  <si>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</si>
  <si>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</si>
  <si>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</si>
  <si>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</si>
  <si>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</si>
  <si>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</si>
  <si>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</si>
  <si>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</si>
  <si>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</si>
  <si>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</si>
  <si>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</si>
  <si>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</si>
  <si>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</si>
  <si>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</si>
  <si>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</si>
  <si>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</si>
  <si>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</si>
  <si>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</si>
  <si>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</si>
  <si>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</si>
  <si>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</si>
  <si>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</si>
  <si>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</si>
  <si>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</si>
  <si>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</si>
  <si>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</si>
  <si>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</si>
  <si>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</si>
  <si>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</si>
  <si>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</si>
  <si>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</si>
  <si>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</si>
  <si>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</si>
  <si>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</si>
  <si>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</si>
  <si>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</si>
  <si>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</si>
  <si>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</si>
  <si>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</si>
  <si>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</si>
  <si>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</si>
  <si>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</si>
  <si>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</si>
  <si>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</si>
  <si>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</si>
  <si>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</si>
  <si>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</si>
  <si>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</si>
  <si>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</si>
  <si>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</si>
  <si>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</si>
  <si>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</si>
  <si>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</si>
  <si>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</si>
  <si>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</si>
  <si>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</si>
  <si>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</si>
  <si>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</si>
  <si>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</si>
  <si>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</si>
  <si>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</si>
  <si>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</si>
  <si>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</si>
  <si>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</si>
  <si>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</si>
  <si>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</si>
  <si>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</si>
  <si>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</si>
  <si>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</si>
  <si>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</si>
  <si>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</si>
  <si>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</si>
  <si>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</si>
  <si>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</si>
  <si>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</si>
  <si>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</si>
  <si>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</si>
  <si>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</si>
  <si>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</si>
  <si>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</si>
  <si>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</si>
  <si>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</si>
  <si>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</si>
  <si>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</si>
  <si>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</si>
  <si>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</si>
  <si>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</si>
  <si>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</si>
  <si>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</si>
  <si>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</si>
  <si>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</si>
  <si>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</si>
  <si>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</si>
  <si>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</si>
  <si>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</si>
  <si>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</si>
  <si>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</si>
  <si>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</si>
  <si>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</si>
  <si>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</si>
  <si>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</si>
  <si>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</si>
  <si>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</si>
  <si>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</si>
  <si>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</si>
  <si>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</si>
  <si>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</si>
  <si>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</si>
  <si>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</si>
  <si>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</si>
  <si>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</si>
  <si>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</si>
  <si>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</si>
  <si>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</si>
  <si>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</si>
  <si>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</si>
  <si>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</si>
  <si>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</si>
  <si>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</si>
  <si>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</si>
  <si>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</si>
  <si>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</si>
  <si>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</si>
  <si>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</si>
  <si>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</si>
  <si>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</si>
  <si>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</si>
  <si>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</si>
  <si>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</si>
  <si>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</si>
  <si>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</si>
  <si>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</si>
  <si>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</si>
  <si>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</si>
  <si>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</si>
  <si>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</si>
  <si>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</si>
  <si>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</si>
  <si>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</si>
  <si>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</si>
  <si>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</si>
  <si>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</si>
  <si>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</si>
  <si>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</si>
  <si>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</si>
  <si>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</si>
  <si>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</si>
  <si>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</si>
  <si>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</si>
  <si>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</si>
  <si>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</si>
  <si>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</si>
  <si>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</si>
  <si>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</si>
  <si>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</si>
  <si>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</si>
  <si>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</si>
  <si>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</si>
  <si>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</si>
  <si>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</si>
  <si>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</si>
  <si>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</si>
  <si>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</si>
  <si>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</si>
  <si>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</si>
  <si>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</si>
  <si>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</si>
  <si>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</si>
  <si>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</si>
  <si>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</si>
  <si>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</si>
  <si>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</si>
  <si>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</si>
  <si>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</si>
  <si>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</si>
  <si>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</si>
  <si>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</si>
  <si>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</si>
  <si>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</si>
  <si>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</si>
  <si>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</si>
  <si>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</si>
  <si>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</si>
  <si>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</si>
  <si>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</si>
  <si>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</si>
  <si>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</si>
  <si>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</si>
  <si>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</si>
  <si>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</si>
  <si>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</si>
  <si>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</si>
  <si>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</si>
  <si>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</si>
  <si>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</si>
  <si>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</si>
  <si>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</si>
  <si>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</si>
  <si>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</si>
  <si>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</si>
  <si>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</si>
  <si>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</si>
  <si>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</si>
  <si>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</si>
  <si>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</si>
  <si>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</si>
  <si>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</si>
  <si>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</si>
  <si>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</si>
  <si>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</si>
  <si>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</si>
  <si>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</si>
  <si>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</si>
  <si>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</si>
  <si>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</si>
  <si>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</si>
  <si>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</si>
  <si>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</si>
  <si>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</si>
  <si>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</si>
  <si>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</si>
  <si>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</si>
  <si>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</si>
  <si>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</si>
  <si>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</si>
  <si>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</si>
  <si>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</si>
  <si>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</si>
  <si>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</si>
  <si>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</si>
  <si>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</si>
  <si>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</si>
  <si>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</si>
  <si>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</si>
  <si>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</si>
  <si>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</si>
  <si>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</si>
  <si>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</si>
  <si>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</si>
  <si>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</si>
  <si>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</si>
  <si>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</si>
  <si>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</si>
  <si>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</si>
  <si>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</si>
  <si>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</si>
  <si>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</si>
  <si>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</si>
  <si>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</si>
  <si>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</si>
  <si>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</si>
  <si>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</si>
  <si>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</si>
  <si>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</si>
  <si>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</si>
  <si>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</si>
  <si>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</si>
  <si>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</si>
  <si>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</si>
  <si>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</si>
  <si>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</si>
  <si>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</si>
  <si>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</si>
  <si>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</si>
  <si>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</si>
  <si>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</si>
  <si>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</si>
  <si>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</si>
  <si>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</si>
  <si>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</si>
  <si>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</si>
  <si>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</si>
  <si>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</si>
  <si>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</si>
  <si>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</si>
  <si>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</si>
  <si>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</si>
  <si>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</si>
  <si>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</si>
  <si>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</si>
  <si>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</si>
  <si>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</si>
  <si>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</si>
  <si>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</si>
  <si>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</si>
  <si>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</si>
  <si>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</si>
  <si>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</si>
  <si>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</si>
  <si>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</si>
  <si>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</si>
  <si>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</si>
  <si>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</si>
  <si>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</si>
  <si>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</si>
  <si>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</si>
  <si>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</si>
  <si>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</si>
  <si>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</si>
  <si>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</si>
  <si>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</si>
  <si>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</si>
  <si>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</si>
  <si>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</si>
  <si>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</si>
  <si>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</si>
  <si>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</si>
  <si>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</si>
  <si>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</si>
  <si>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</si>
  <si>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</si>
  <si>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</si>
  <si>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</si>
  <si>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</si>
  <si>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</si>
  <si>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</si>
  <si>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</si>
  <si>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</si>
  <si>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</si>
  <si>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</si>
  <si>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</si>
  <si>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</si>
  <si>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</si>
  <si>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</si>
  <si>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</si>
  <si>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</si>
  <si>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</si>
  <si>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</si>
  <si>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</si>
  <si>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</si>
  <si>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</si>
  <si>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</si>
  <si>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</si>
  <si>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</si>
  <si>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</si>
  <si>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</si>
  <si>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</si>
  <si>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</si>
  <si>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</si>
  <si>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</si>
  <si>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</si>
  <si>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</si>
  <si>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</si>
  <si>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</si>
  <si>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</si>
  <si>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</si>
  <si>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</si>
  <si>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</si>
  <si>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</si>
  <si>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</si>
  <si>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</si>
  <si>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</si>
  <si>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</si>
  <si>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</si>
  <si>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</si>
  <si>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</si>
  <si>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</si>
  <si>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</si>
  <si>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</si>
  <si>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</si>
  <si>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</si>
  <si>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</si>
  <si>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</si>
  <si>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</si>
  <si>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</si>
  <si>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</si>
  <si>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</si>
  <si>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</si>
  <si>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</si>
  <si>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</si>
  <si>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</si>
  <si>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</si>
  <si>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</si>
  <si>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</si>
  <si>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</si>
  <si>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</si>
  <si>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</si>
  <si>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</si>
  <si>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</si>
  <si>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</si>
  <si>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</si>
  <si>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</si>
  <si>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</si>
  <si>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</si>
  <si>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</si>
  <si>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</si>
  <si>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</si>
  <si>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</si>
  <si>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</si>
  <si>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</si>
  <si>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</si>
  <si>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</si>
  <si>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</si>
  <si>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</si>
  <si>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</si>
  <si>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</si>
  <si>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</si>
  <si>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</si>
  <si>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</si>
  <si>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</si>
  <si>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</si>
  <si>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</si>
  <si>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</si>
  <si>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</si>
  <si>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</si>
  <si>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</si>
  <si>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</si>
  <si>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</si>
  <si>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</si>
  <si>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</si>
  <si>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</si>
  <si>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</si>
  <si>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</si>
  <si>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</si>
  <si>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</si>
  <si>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</si>
  <si>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</si>
  <si>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</si>
  <si>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</si>
  <si>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</si>
  <si>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</si>
  <si>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</si>
  <si>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</si>
  <si>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</si>
  <si>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</si>
  <si>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</si>
  <si>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</si>
  <si>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</si>
  <si>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</si>
  <si>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</si>
  <si>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</si>
  <si>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</si>
  <si>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</si>
  <si>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</si>
  <si>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</si>
  <si>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</si>
  <si>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</si>
  <si>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</si>
  <si>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</si>
  <si>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</si>
  <si>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</si>
  <si>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</si>
  <si>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</si>
  <si>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</si>
  <si>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</si>
  <si>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</si>
  <si>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</si>
  <si>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</si>
  <si>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</si>
  <si>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</si>
  <si>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</si>
  <si>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</si>
  <si>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</si>
  <si>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</si>
  <si>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</si>
  <si>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</si>
  <si>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</si>
  <si>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</si>
  <si>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</si>
  <si>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</si>
  <si>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</si>
  <si>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</si>
  <si>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</si>
  <si>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</si>
  <si>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</si>
  <si>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</si>
  <si>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</si>
  <si>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</si>
  <si>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</si>
  <si>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</si>
  <si>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</si>
  <si>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</si>
  <si>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</si>
  <si>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</si>
  <si>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</si>
  <si>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</si>
  <si>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</si>
  <si>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</si>
  <si>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</si>
  <si>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</si>
  <si>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</si>
  <si>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</si>
  <si>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</si>
  <si>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</si>
  <si>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</si>
  <si>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</si>
  <si>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</si>
  <si>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</si>
  <si>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</si>
  <si>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</si>
  <si>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</si>
  <si>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</si>
  <si>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</si>
  <si>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</si>
  <si>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</si>
  <si>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</si>
  <si>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</si>
  <si>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</si>
  <si>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</si>
  <si>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</si>
  <si>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</si>
  <si>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</si>
  <si>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</si>
  <si>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</si>
  <si>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</si>
  <si>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</si>
  <si>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</si>
  <si>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</si>
  <si>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</si>
  <si>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</si>
  <si>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</si>
  <si>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</si>
  <si>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</si>
  <si>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</si>
  <si>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</si>
  <si>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</si>
  <si>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</si>
  <si>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</si>
  <si>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</si>
  <si>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</si>
  <si>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</si>
  <si>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</si>
  <si>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</si>
  <si>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</si>
  <si>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</si>
  <si>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</si>
  <si>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</si>
  <si>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</si>
  <si>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</si>
  <si>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</si>
  <si>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</si>
  <si>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</si>
  <si>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</si>
  <si>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</si>
  <si>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</si>
  <si>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</si>
  <si>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</si>
  <si>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</si>
  <si>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</si>
  <si>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</si>
  <si>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</si>
  <si>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</si>
  <si>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</si>
  <si>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</si>
  <si>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</si>
  <si>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</si>
  <si>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</si>
  <si>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</si>
  <si>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</si>
  <si>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</si>
  <si>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</si>
  <si>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</si>
  <si>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</si>
  <si>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</si>
  <si>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</si>
  <si>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</si>
  <si>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</si>
  <si>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</si>
  <si>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</si>
  <si>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</si>
  <si>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</si>
  <si>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</si>
  <si>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</si>
  <si>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</si>
  <si>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</si>
  <si>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</si>
  <si>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</si>
  <si>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</si>
  <si>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</si>
  <si>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</si>
  <si>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</si>
  <si>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</si>
  <si>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</si>
  <si>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</si>
  <si>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</si>
  <si>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</si>
  <si>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</si>
  <si>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</si>
  <si>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</si>
  <si>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</si>
  <si>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</si>
  <si>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</si>
  <si>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</si>
  <si>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</si>
  <si>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</si>
  <si>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</si>
  <si>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</si>
  <si>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</si>
  <si>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</si>
  <si>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</si>
  <si>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</si>
  <si>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</si>
  <si>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</si>
  <si>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</si>
  <si>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</si>
  <si>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</si>
  <si>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</si>
  <si>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</si>
  <si>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</si>
  <si>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</si>
  <si>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</si>
  <si>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</si>
  <si>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</si>
  <si>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</si>
  <si>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</si>
  <si>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</si>
  <si>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</si>
  <si>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</si>
  <si>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</si>
  <si>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</si>
  <si>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</si>
  <si>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</si>
  <si>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</si>
  <si>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</si>
  <si>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</si>
  <si>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</si>
  <si>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</si>
  <si>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</si>
  <si>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</si>
  <si>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</si>
  <si>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</si>
  <si>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</si>
  <si>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</si>
  <si>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</si>
  <si>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</si>
  <si>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</si>
  <si>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</si>
  <si>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</si>
  <si>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</si>
  <si>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</si>
  <si>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</si>
  <si>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</si>
  <si>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</si>
  <si>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</si>
  <si>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</si>
  <si>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</si>
  <si>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</si>
  <si>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</si>
  <si>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</si>
  <si>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</si>
  <si>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</si>
  <si>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</si>
  <si>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</si>
  <si>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</si>
  <si>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</si>
  <si>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</si>
  <si>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</si>
  <si>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</si>
  <si>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</si>
  <si>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</si>
  <si>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</si>
  <si>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</si>
  <si>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</si>
  <si>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</si>
  <si>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</si>
  <si>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</si>
  <si>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</si>
  <si>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</si>
  <si>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</si>
  <si>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</si>
  <si>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</si>
  <si>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</si>
  <si>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</si>
  <si>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</si>
  <si>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</si>
  <si>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</si>
  <si>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</si>
  <si>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</si>
  <si>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</si>
  <si>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</si>
  <si>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</si>
  <si>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</si>
  <si>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</si>
  <si>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</si>
  <si>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</si>
  <si>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</si>
  <si>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</si>
  <si>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</si>
  <si>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</si>
  <si>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</si>
  <si>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</si>
  <si>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</si>
  <si>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</si>
  <si>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</si>
  <si>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</si>
  <si>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</si>
  <si>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</si>
  <si>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</si>
  <si>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</si>
  <si>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</si>
  <si>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</si>
  <si>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</si>
  <si>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</si>
  <si>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</si>
  <si>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</si>
  <si>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</si>
  <si>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</si>
  <si>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</si>
  <si>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</si>
  <si>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</si>
  <si>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</si>
  <si>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</si>
  <si>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</si>
  <si>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</si>
  <si>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</si>
  <si>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</si>
  <si>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</si>
  <si>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</si>
  <si>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</si>
  <si>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</si>
  <si>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</si>
  <si>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</si>
  <si>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</si>
  <si>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</si>
  <si>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</si>
  <si>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</si>
  <si>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</si>
  <si>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</si>
  <si>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</si>
  <si>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</si>
  <si>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</si>
  <si>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</si>
  <si>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</si>
  <si>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</si>
  <si>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</si>
  <si>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</si>
  <si>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</si>
  <si>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</si>
  <si>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</si>
  <si>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</si>
  <si>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</si>
  <si>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</si>
  <si>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</si>
  <si>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</si>
  <si>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</si>
  <si>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</si>
  <si>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</si>
  <si>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</si>
  <si>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</si>
  <si>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</si>
  <si>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</si>
  <si>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</si>
  <si>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</si>
  <si>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</si>
  <si>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</si>
  <si>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</si>
  <si>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</si>
  <si>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</si>
  <si>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</si>
  <si>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</si>
  <si>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</si>
  <si>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</si>
  <si>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</si>
  <si>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</si>
  <si>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</si>
  <si>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</si>
  <si>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</si>
  <si>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</si>
  <si>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</si>
  <si>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</si>
  <si>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</si>
  <si>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</si>
  <si>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</si>
  <si>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</si>
  <si>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</si>
  <si>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</si>
  <si>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</si>
  <si>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</si>
  <si>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</si>
  <si>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</si>
  <si>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</si>
  <si>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</si>
  <si>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</si>
  <si>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</si>
  <si>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</si>
  <si>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</si>
  <si>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</si>
  <si>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</si>
  <si>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</si>
  <si>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</si>
  <si>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</si>
  <si>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</si>
  <si>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</si>
  <si>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</si>
  <si>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</si>
  <si>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</si>
  <si>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</si>
  <si>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</si>
  <si>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</si>
  <si>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</si>
  <si>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</si>
  <si>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</si>
  <si>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</si>
  <si>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</si>
  <si>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</si>
  <si>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</si>
  <si>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</si>
  <si>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</si>
  <si>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</si>
  <si>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</si>
  <si>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</si>
  <si>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</si>
  <si>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</si>
  <si>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</si>
  <si>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</si>
  <si>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</si>
  <si>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</si>
  <si>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</si>
  <si>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</si>
  <si>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</si>
  <si>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</si>
  <si>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</si>
  <si>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</si>
  <si>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</si>
  <si>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</si>
  <si>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</si>
  <si>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</si>
  <si>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</si>
  <si>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</si>
  <si>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</si>
  <si>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</si>
  <si>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</si>
  <si>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</si>
  <si>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</si>
  <si>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</si>
  <si>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</si>
  <si>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</si>
  <si>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</si>
  <si>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</si>
  <si>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</si>
  <si>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</si>
  <si>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</si>
  <si>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</si>
  <si>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</si>
  <si>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</si>
  <si>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</si>
  <si>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</si>
  <si>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</si>
  <si>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</si>
  <si>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</si>
  <si>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</si>
  <si>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</si>
  <si>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</si>
  <si>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</si>
  <si>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</si>
  <si>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</si>
  <si>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</si>
  <si>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</si>
  <si>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</si>
  <si>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</si>
  <si>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</si>
  <si>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</si>
  <si>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</si>
  <si>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</si>
  <si>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</si>
  <si>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</si>
  <si>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</si>
  <si>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</si>
  <si>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</si>
  <si>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</si>
  <si>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</si>
  <si>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</si>
  <si>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</si>
  <si>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</si>
  <si>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</si>
  <si>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</si>
  <si>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</si>
  <si>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</si>
  <si>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</si>
  <si>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</si>
  <si>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</si>
  <si>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</si>
  <si>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</si>
  <si>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</si>
  <si>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</si>
  <si>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</si>
  <si>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</si>
  <si>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</si>
  <si>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</si>
  <si>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</si>
  <si>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</si>
  <si>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</si>
  <si>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</si>
  <si>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</si>
  <si>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</si>
  <si>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</si>
  <si>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</si>
  <si>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</si>
  <si>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</si>
  <si>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</si>
  <si>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</si>
  <si>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</si>
  <si>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</si>
  <si>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</si>
  <si>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</si>
  <si>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</si>
  <si>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</si>
  <si>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</si>
  <si>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</si>
  <si>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</si>
  <si>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</si>
  <si>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</si>
  <si>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</si>
  <si>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</si>
  <si>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</si>
  <si>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</si>
  <si>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</si>
  <si>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</si>
  <si>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</si>
  <si>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</si>
  <si>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</si>
  <si>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</si>
  <si>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</si>
  <si>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</si>
  <si>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</si>
  <si>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</si>
  <si>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</si>
  <si>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</si>
  <si>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</si>
  <si>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</si>
  <si>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</si>
  <si>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</si>
  <si>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</si>
  <si>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</si>
  <si>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</si>
  <si>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</si>
  <si>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</si>
  <si>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</si>
  <si>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</si>
  <si>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</si>
  <si>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</si>
  <si>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</si>
  <si>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</si>
  <si>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</si>
  <si>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</si>
  <si>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</si>
  <si>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</si>
  <si>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</si>
  <si>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</si>
  <si>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</si>
  <si>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</si>
  <si>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</si>
  <si>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</si>
  <si>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</si>
  <si>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</si>
  <si>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</si>
  <si>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</si>
  <si>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</si>
  <si>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</si>
  <si>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</si>
  <si>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</si>
  <si>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</si>
  <si>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</si>
  <si>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</si>
  <si>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</si>
  <si>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</si>
  <si>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</si>
  <si>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</si>
  <si>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</si>
  <si>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</si>
  <si>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</si>
  <si>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</si>
  <si>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</si>
  <si>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</si>
  <si>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</si>
  <si>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</si>
  <si>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</si>
  <si>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</si>
  <si>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</si>
  <si>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</si>
  <si>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</si>
  <si>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</si>
  <si>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</si>
  <si>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</si>
  <si>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</si>
  <si>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</si>
  <si>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</si>
  <si>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</si>
  <si>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</si>
  <si>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</si>
  <si>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</si>
  <si>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</si>
  <si>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</si>
  <si>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</si>
  <si>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</si>
  <si>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</si>
  <si>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</si>
  <si>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</si>
  <si>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</si>
  <si>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</si>
  <si>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</si>
  <si>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</si>
  <si>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</si>
  <si>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</si>
  <si>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</si>
  <si>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</si>
  <si>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</si>
  <si>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</si>
  <si>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</si>
  <si>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</si>
  <si>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</si>
  <si>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</si>
  <si>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</si>
  <si>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</si>
  <si>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</si>
  <si>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</si>
  <si>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</si>
  <si>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</si>
  <si>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</si>
  <si>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</si>
  <si>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</si>
  <si>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</si>
  <si>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</si>
  <si>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</si>
  <si>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</si>
  <si>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</si>
  <si>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</si>
  <si>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</si>
  <si>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</si>
  <si>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</si>
  <si>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</si>
  <si>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</si>
  <si>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</si>
  <si>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</si>
  <si>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</si>
  <si>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</si>
  <si>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</si>
  <si>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</si>
  <si>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</si>
  <si>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</si>
  <si>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</si>
  <si>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</si>
  <si>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</si>
  <si>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</si>
  <si>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</si>
  <si>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</si>
  <si>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</si>
  <si>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</si>
  <si>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</si>
  <si>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</si>
  <si>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</si>
  <si>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</si>
  <si>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</si>
  <si>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</si>
  <si>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</si>
  <si>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</si>
  <si>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</si>
  <si>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</si>
  <si>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</si>
  <si>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</si>
  <si>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</si>
  <si>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</si>
  <si>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</si>
  <si>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</si>
  <si>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</si>
  <si>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</si>
  <si>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</si>
  <si>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</si>
  <si>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</si>
  <si>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</si>
  <si>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</si>
  <si>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</si>
  <si>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</si>
  <si>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</si>
  <si>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</si>
  <si>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</si>
  <si>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</si>
  <si>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</si>
  <si>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</si>
  <si>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</si>
  <si>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</si>
  <si>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</si>
  <si>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</si>
  <si>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</si>
  <si>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</si>
  <si>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</si>
  <si>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</si>
  <si>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</si>
  <si>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</si>
  <si>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</si>
  <si>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</si>
  <si>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</si>
  <si>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</si>
  <si>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</si>
  <si>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</si>
  <si>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</si>
  <si>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</si>
  <si>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</si>
  <si>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</si>
  <si>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</si>
  <si>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</si>
  <si>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</si>
  <si>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</si>
  <si>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</si>
  <si>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</si>
  <si>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</si>
  <si>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</si>
  <si>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</si>
  <si>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</si>
  <si>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</si>
  <si>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</si>
  <si>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</si>
  <si>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</si>
  <si>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</si>
  <si>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</si>
  <si>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</si>
  <si>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</si>
  <si>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</si>
  <si>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</si>
  <si>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</si>
  <si>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</si>
  <si>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</si>
  <si>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</si>
  <si>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</si>
  <si>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</si>
  <si>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</si>
  <si>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</si>
  <si>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</si>
  <si>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</si>
  <si>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</si>
  <si>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</si>
  <si>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</si>
  <si>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</si>
  <si>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</si>
  <si>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</si>
  <si>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</si>
  <si>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</si>
  <si>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</si>
  <si>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</si>
  <si>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</si>
  <si>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</si>
  <si>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</si>
  <si>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</si>
  <si>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</si>
  <si>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</si>
  <si>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</si>
  <si>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</si>
  <si>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</si>
  <si>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</si>
  <si>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</si>
  <si>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</si>
  <si>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</si>
  <si>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</si>
  <si>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</si>
  <si>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</si>
  <si>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</si>
  <si>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</si>
  <si>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</si>
  <si>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</si>
  <si>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</si>
  <si>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</si>
  <si>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</si>
  <si>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</si>
  <si>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</si>
  <si>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</si>
  <si>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</si>
  <si>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</si>
  <si>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</si>
  <si>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</si>
  <si>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</si>
  <si>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</si>
  <si>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</si>
  <si>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</si>
  <si>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</si>
  <si>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</si>
  <si>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</si>
  <si>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</si>
  <si>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</si>
  <si>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</si>
  <si>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</si>
  <si>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</si>
  <si>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</si>
  <si>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</si>
  <si>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</si>
  <si>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</si>
  <si>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</si>
  <si>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</si>
  <si>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</si>
  <si>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</si>
  <si>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</si>
  <si>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</si>
  <si>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</si>
  <si>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</si>
  <si>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</si>
  <si>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</si>
  <si>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</si>
  <si>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</si>
  <si>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</si>
  <si>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</si>
  <si>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</si>
  <si>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</si>
  <si>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</si>
  <si>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</si>
  <si>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</si>
  <si>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</si>
  <si>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</si>
  <si>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</si>
  <si>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</si>
  <si>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</si>
  <si>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</si>
  <si>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</si>
  <si>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</si>
  <si>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</si>
  <si>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</si>
  <si>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</si>
  <si>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</si>
  <si>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</si>
  <si>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</si>
  <si>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</si>
  <si>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</si>
  <si>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</si>
  <si>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</si>
  <si>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</si>
  <si>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</si>
  <si>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</si>
  <si>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</si>
  <si>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</si>
  <si>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</si>
  <si>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</si>
  <si>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</si>
  <si>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</si>
  <si>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</si>
  <si>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</si>
  <si>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</si>
  <si>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</si>
  <si>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</si>
  <si>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</si>
  <si>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</si>
  <si>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</si>
  <si>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</si>
  <si>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</si>
  <si>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</si>
  <si>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</si>
  <si>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</si>
  <si>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</si>
  <si>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</si>
  <si>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</si>
  <si>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</si>
  <si>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</si>
  <si>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</si>
  <si>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</si>
  <si>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</si>
  <si>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</si>
  <si>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</si>
  <si>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</si>
  <si>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</si>
  <si>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</si>
  <si>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</si>
  <si>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</si>
  <si>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</si>
  <si>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</si>
  <si>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</si>
  <si>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</si>
  <si>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</si>
  <si>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</si>
  <si>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</si>
  <si>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</si>
  <si>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</si>
  <si>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</si>
  <si>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</si>
  <si>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</si>
  <si>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</si>
  <si>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</si>
  <si>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</si>
  <si>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</si>
  <si>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</si>
  <si>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</si>
  <si>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</si>
  <si>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</si>
  <si>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</si>
  <si>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</si>
  <si>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</si>
  <si>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</si>
  <si>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</si>
  <si>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</si>
  <si>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</si>
  <si>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</si>
  <si>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</si>
  <si>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</si>
  <si>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</si>
  <si>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</si>
  <si>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</si>
  <si>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</si>
  <si>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</si>
  <si>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</si>
  <si>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</si>
  <si>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</si>
  <si>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</si>
  <si>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</si>
  <si>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</si>
  <si>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</si>
  <si>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</si>
  <si>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</si>
  <si>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</si>
  <si>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</si>
  <si>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</si>
  <si>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</si>
  <si>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</si>
  <si>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</si>
  <si>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</si>
  <si>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</si>
  <si>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</si>
  <si>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</si>
  <si>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</si>
  <si>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</si>
  <si>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</si>
  <si>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</si>
  <si>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</si>
  <si>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</si>
  <si>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</si>
  <si>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</si>
  <si>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</si>
  <si>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</si>
  <si>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</si>
  <si>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</si>
  <si>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</si>
  <si>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</si>
  <si>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</si>
  <si>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</si>
  <si>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</si>
  <si>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</si>
  <si>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</si>
  <si>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</si>
  <si>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</si>
  <si>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</si>
  <si>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</si>
  <si>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</si>
  <si>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</si>
  <si>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</si>
  <si>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</si>
  <si>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</si>
  <si>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</si>
  <si>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</si>
  <si>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</si>
  <si>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</si>
  <si>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</si>
  <si>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</si>
  <si>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</si>
  <si>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</si>
  <si>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</si>
  <si>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</si>
  <si>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</si>
  <si>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</si>
  <si>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</si>
  <si>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</si>
  <si>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</si>
  <si>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</si>
  <si>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</si>
  <si>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</si>
  <si>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</si>
  <si>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</si>
  <si>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</si>
  <si>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</si>
  <si>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</si>
  <si>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</si>
  <si>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</si>
  <si>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</si>
  <si>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</si>
  <si>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</si>
  <si>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</si>
  <si>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</si>
  <si>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</si>
  <si>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</si>
  <si>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</si>
  <si>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</si>
  <si>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</si>
  <si>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</si>
  <si>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</si>
  <si>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</si>
  <si>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</si>
  <si>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</si>
  <si>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</si>
  <si>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</si>
  <si>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</si>
  <si>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</si>
  <si>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</si>
  <si>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</si>
  <si>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</si>
  <si>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</si>
  <si>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</si>
  <si>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</si>
  <si>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</si>
  <si>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</si>
  <si>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</si>
  <si>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</si>
  <si>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</si>
  <si>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</si>
  <si>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</si>
  <si>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</si>
  <si>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</si>
  <si>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</si>
  <si>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</si>
  <si>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</si>
  <si>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</si>
  <si>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</si>
  <si>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</si>
  <si>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</si>
  <si>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</si>
  <si>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</si>
  <si>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</si>
  <si>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</si>
  <si>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</si>
  <si>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</si>
  <si>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</si>
  <si>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</si>
  <si>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</si>
  <si>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</si>
  <si>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</si>
  <si>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</si>
  <si>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</si>
  <si>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</si>
  <si>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</si>
  <si>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</si>
  <si>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</si>
  <si>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</si>
  <si>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</si>
  <si>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</si>
  <si>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</si>
  <si>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</si>
  <si>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</si>
  <si>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</si>
  <si>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</si>
  <si>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</si>
  <si>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</si>
  <si>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</si>
  <si>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</si>
  <si>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</si>
  <si>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</si>
  <si>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</si>
  <si>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</si>
  <si>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</si>
  <si>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</si>
  <si>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</si>
  <si>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</si>
  <si>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</si>
  <si>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</si>
  <si>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</si>
  <si>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</si>
  <si>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</si>
  <si>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</si>
  <si>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</si>
  <si>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</si>
  <si>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</si>
  <si>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</si>
  <si>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</si>
  <si>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</si>
  <si>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</si>
  <si>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</si>
  <si>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</si>
  <si>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</si>
  <si>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</si>
  <si>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</si>
  <si>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</si>
  <si>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</si>
  <si>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</si>
  <si>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</si>
  <si>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</si>
  <si>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</si>
  <si>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</si>
  <si>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</si>
  <si>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</si>
  <si>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</si>
  <si>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</si>
  <si>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</si>
  <si>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</si>
  <si>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</si>
  <si>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</si>
  <si>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</si>
  <si>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</si>
  <si>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</si>
  <si>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</si>
  <si>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</si>
  <si>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</si>
  <si>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</si>
  <si>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</si>
  <si>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</si>
  <si>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</si>
  <si>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</si>
  <si>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</si>
  <si>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</si>
  <si>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</si>
  <si>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</si>
  <si>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</si>
  <si>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</si>
  <si>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</si>
  <si>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</si>
  <si>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</si>
  <si>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</si>
  <si>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</si>
  <si>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</si>
  <si>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</si>
  <si>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</si>
  <si>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</si>
  <si>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</si>
  <si>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</si>
  <si>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</si>
  <si>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</si>
  <si>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</si>
  <si>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</si>
  <si>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</si>
  <si>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</si>
  <si>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</si>
  <si>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</si>
  <si>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</si>
  <si>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</si>
  <si>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</si>
  <si>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</si>
  <si>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</si>
  <si>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</si>
  <si>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</si>
  <si>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</si>
  <si>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</si>
  <si>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</si>
  <si>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</si>
  <si>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</si>
  <si>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</si>
  <si>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</si>
  <si>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</si>
  <si>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</si>
  <si>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</si>
  <si>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</si>
  <si>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</si>
  <si>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</si>
  <si>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</si>
  <si>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</si>
  <si>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</si>
  <si>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</si>
  <si>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</si>
  <si>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</si>
  <si>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</si>
  <si>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</si>
  <si>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</si>
  <si>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</si>
  <si>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</si>
  <si>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</si>
  <si>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</si>
  <si>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</si>
  <si>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</si>
  <si>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</si>
  <si>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</si>
  <si>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</si>
  <si>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</si>
  <si>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</si>
  <si>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</si>
  <si>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</si>
  <si>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</si>
  <si>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</si>
  <si>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</si>
  <si>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</si>
  <si>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</si>
  <si>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</si>
  <si>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</si>
  <si>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</si>
  <si>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</si>
  <si>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</si>
  <si>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</si>
  <si>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</si>
  <si>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</si>
  <si>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</si>
  <si>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</si>
  <si>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</si>
  <si>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</si>
  <si>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</si>
  <si>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</si>
  <si>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</si>
  <si>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</si>
  <si>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</si>
  <si>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</si>
  <si>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</si>
  <si>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</si>
  <si>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</si>
  <si>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</si>
  <si>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</si>
  <si>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</si>
  <si>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</si>
  <si>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</si>
  <si>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</si>
  <si>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</si>
  <si>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</si>
  <si>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</si>
  <si>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</si>
  <si>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</si>
  <si>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</si>
  <si>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</si>
  <si>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</si>
  <si>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</si>
  <si>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</si>
  <si>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</si>
  <si>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</si>
  <si>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</si>
  <si>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</si>
  <si>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</si>
  <si>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</si>
  <si>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</si>
  <si>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</si>
  <si>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</si>
  <si>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</si>
  <si>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</si>
  <si>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</si>
  <si>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</si>
  <si>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</si>
  <si>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</si>
  <si>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</si>
  <si>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</si>
  <si>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</si>
  <si>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</si>
  <si>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</si>
  <si>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</si>
  <si>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</si>
  <si>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</si>
  <si>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</si>
  <si>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</si>
  <si>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</si>
  <si>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</si>
  <si>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</si>
  <si>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</si>
  <si>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</si>
  <si>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</si>
  <si>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</si>
  <si>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</si>
  <si>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</si>
  <si>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</si>
  <si>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</si>
  <si>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</si>
  <si>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</si>
  <si>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</si>
  <si>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</si>
  <si>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</si>
  <si>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</si>
  <si>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</si>
  <si>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</si>
  <si>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</si>
  <si>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</si>
  <si>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</si>
  <si>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</si>
  <si>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</si>
  <si>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</si>
  <si>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</si>
  <si>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</si>
  <si>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</si>
  <si>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</si>
  <si>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</si>
  <si>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</si>
  <si>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</si>
  <si>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</si>
  <si>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</si>
  <si>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</si>
  <si>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</si>
  <si>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</si>
  <si>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</si>
  <si>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</si>
  <si>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</si>
  <si>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</si>
  <si>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</si>
  <si>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</si>
  <si>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</si>
  <si>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</si>
  <si>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</si>
  <si>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</si>
  <si>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</si>
  <si>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</si>
  <si>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</si>
  <si>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</si>
  <si>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</si>
  <si>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</si>
  <si>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</si>
  <si>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</si>
  <si>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</si>
  <si>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</si>
  <si>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</si>
  <si>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</si>
  <si>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</si>
  <si>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</si>
  <si>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</si>
  <si>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</si>
  <si>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</si>
  <si>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</si>
  <si>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</si>
  <si>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</si>
  <si>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</si>
  <si>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</si>
  <si>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</si>
  <si>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</si>
  <si>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</si>
  <si>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</si>
  <si>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</si>
  <si>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</si>
  <si>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</si>
  <si>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</si>
  <si>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</si>
  <si>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</si>
  <si>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</si>
  <si>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</si>
  <si>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</si>
  <si>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</si>
  <si>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</si>
  <si>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</si>
  <si>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</si>
  <si>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</si>
  <si>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</si>
  <si>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</si>
  <si>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</si>
  <si>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</si>
  <si>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</si>
  <si>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</si>
  <si>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</si>
  <si>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</si>
  <si>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</si>
  <si>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</si>
  <si>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</si>
  <si>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</si>
  <si>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</si>
  <si>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</si>
  <si>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</si>
  <si>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</si>
  <si>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</si>
  <si>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</si>
  <si>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</si>
  <si>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</si>
  <si>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</si>
  <si>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</si>
  <si>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</si>
  <si>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</si>
  <si>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</si>
  <si>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</si>
  <si>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</si>
  <si>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</si>
  <si>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</si>
  <si>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</si>
  <si>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</si>
  <si>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</si>
  <si>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</si>
  <si>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</si>
  <si>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</si>
  <si>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</si>
  <si>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</si>
  <si>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</si>
  <si>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</si>
  <si>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</si>
  <si>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</si>
  <si>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</si>
  <si>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</si>
  <si>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</si>
  <si>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</si>
  <si>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</si>
  <si>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</si>
  <si>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</si>
  <si>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</si>
  <si>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</si>
  <si>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</si>
  <si>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</si>
  <si>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</si>
  <si>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</si>
  <si>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</si>
  <si>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</si>
  <si>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</si>
  <si>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</si>
  <si>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</si>
  <si>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</si>
  <si>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</si>
  <si>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</si>
  <si>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</si>
  <si>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</si>
  <si>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</si>
  <si>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</si>
  <si>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</si>
  <si>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</si>
  <si>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</si>
  <si>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</si>
  <si>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</si>
  <si>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</si>
  <si>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</si>
  <si>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</si>
  <si>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</si>
  <si>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</si>
  <si>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</si>
  <si>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</si>
  <si>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</si>
  <si>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</si>
  <si>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</si>
  <si>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</si>
  <si>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</si>
  <si>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</si>
  <si>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</si>
  <si>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</si>
  <si>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</si>
  <si>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</si>
  <si>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</si>
  <si>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</si>
  <si>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</si>
  <si>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</si>
  <si>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</si>
  <si>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</si>
  <si>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</si>
  <si>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</si>
  <si>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</si>
  <si>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</si>
  <si>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</si>
  <si>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</si>
  <si>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</si>
  <si>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</si>
  <si>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</si>
  <si>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</si>
  <si>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</si>
  <si>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</si>
  <si>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</si>
  <si>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</si>
  <si>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</si>
  <si>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</si>
  <si>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</si>
  <si>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</si>
  <si>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</si>
  <si>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</si>
  <si>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</si>
  <si>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</si>
  <si>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</si>
  <si>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</si>
  <si>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</si>
  <si>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</si>
  <si>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</si>
  <si>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</si>
  <si>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</si>
  <si>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</si>
  <si>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</si>
  <si>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</si>
  <si>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</si>
  <si>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</si>
  <si>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</si>
  <si>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</si>
  <si>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</si>
  <si>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</si>
  <si>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</si>
  <si>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</si>
  <si>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</si>
  <si>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</si>
  <si>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</si>
  <si>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</si>
  <si>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</si>
  <si>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</si>
  <si>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</si>
  <si>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</si>
  <si>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</si>
  <si>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</si>
  <si>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</si>
  <si>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</si>
  <si>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</si>
  <si>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</si>
  <si>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</si>
  <si>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</si>
  <si>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</si>
  <si>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</si>
  <si>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</si>
  <si>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</si>
  <si>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</si>
  <si>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</si>
  <si>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</si>
  <si>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</si>
  <si>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</si>
  <si>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</si>
  <si>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</si>
  <si>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</si>
  <si>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</si>
  <si>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</si>
  <si>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</si>
  <si>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</si>
  <si>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</si>
  <si>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</si>
  <si>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</si>
  <si>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</si>
  <si>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</si>
  <si>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</si>
  <si>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</si>
  <si>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</si>
  <si>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</si>
  <si>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</si>
  <si>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</si>
  <si>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</si>
  <si>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</si>
  <si>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</si>
  <si>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</si>
  <si>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</si>
  <si>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</si>
  <si>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</si>
  <si>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</si>
  <si>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</si>
  <si>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</si>
  <si>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</si>
  <si>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</si>
  <si>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</si>
  <si>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</si>
  <si>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</si>
  <si>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</si>
  <si>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</si>
  <si>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</si>
  <si>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</si>
  <si>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</si>
  <si>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</si>
  <si>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</si>
  <si>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</si>
  <si>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</si>
  <si>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</si>
  <si>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</si>
  <si>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</si>
  <si>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</si>
  <si>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</si>
  <si>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</si>
  <si>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</si>
  <si>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</si>
  <si>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</si>
  <si>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</si>
  <si>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</si>
  <si>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</si>
  <si>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</si>
  <si>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</si>
  <si>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</si>
  <si>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</si>
  <si>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</si>
  <si>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</si>
  <si>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</si>
  <si>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</si>
  <si>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</si>
  <si>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</si>
  <si>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</si>
  <si>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</si>
  <si>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</si>
  <si>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</si>
  <si>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</si>
  <si>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</si>
  <si>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</si>
  <si>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</si>
  <si>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</si>
  <si>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</si>
  <si>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</si>
  <si>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</si>
  <si>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</si>
  <si>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</si>
  <si>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</si>
  <si>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</si>
  <si>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</si>
  <si>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</si>
  <si>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</si>
  <si>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</si>
  <si>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</si>
  <si>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</si>
  <si>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</si>
  <si>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</si>
  <si>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</si>
  <si>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</si>
  <si>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</si>
  <si>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</si>
  <si>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</si>
  <si>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</si>
  <si>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</si>
  <si>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</si>
  <si>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</si>
  <si>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</si>
  <si>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</si>
  <si>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</si>
  <si>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</si>
  <si>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</si>
  <si>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</si>
  <si>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</si>
  <si>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</si>
  <si>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</si>
  <si>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</si>
  <si>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</si>
  <si>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</si>
  <si>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</si>
  <si>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</si>
  <si>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</si>
  <si>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</si>
  <si>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</si>
  <si>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</si>
  <si>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</si>
  <si>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</si>
  <si>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</si>
  <si>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</si>
  <si>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</si>
  <si>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</si>
  <si>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</si>
  <si>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</si>
  <si>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</si>
  <si>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</si>
  <si>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</si>
  <si>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</si>
  <si>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</si>
  <si>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</si>
  <si>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</si>
  <si>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</si>
  <si>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</si>
  <si>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</si>
  <si>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</si>
  <si>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</si>
  <si>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</si>
  <si>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</si>
  <si>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</si>
  <si>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</si>
  <si>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</si>
  <si>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</si>
  <si>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</si>
  <si>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</si>
  <si>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</si>
  <si>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</si>
  <si>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</si>
  <si>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</si>
  <si>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</si>
  <si>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</si>
  <si>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</si>
  <si>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</si>
  <si>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</si>
  <si>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</si>
  <si>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</si>
  <si>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</si>
  <si>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</si>
  <si>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</si>
  <si>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</si>
  <si>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</si>
  <si>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</si>
  <si>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</si>
  <si>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</si>
  <si>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</si>
  <si>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</si>
  <si>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</si>
  <si>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</si>
  <si>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</si>
  <si>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</si>
  <si>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</si>
  <si>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</si>
  <si>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</si>
  <si>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</si>
  <si>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</si>
  <si>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</si>
  <si>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</si>
  <si>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</si>
  <si>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</si>
  <si>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</si>
  <si>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</si>
  <si>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</si>
  <si>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</si>
  <si>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</si>
  <si>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</si>
  <si>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</si>
  <si>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</si>
  <si>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</si>
  <si>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</si>
  <si>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</si>
  <si>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</si>
  <si>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</si>
  <si>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</si>
  <si>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</si>
  <si>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</si>
  <si>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</si>
  <si>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</si>
  <si>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</si>
  <si>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</si>
  <si>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</si>
  <si>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</si>
  <si>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</si>
  <si>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</si>
  <si>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</si>
  <si>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</si>
  <si>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</si>
  <si>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</si>
  <si>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</si>
  <si>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</si>
  <si>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</si>
  <si>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</si>
  <si>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</si>
  <si>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</si>
  <si>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</si>
  <si>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</si>
  <si>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</si>
  <si>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</si>
  <si>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</si>
  <si>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</si>
  <si>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</si>
  <si>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</si>
  <si>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</si>
  <si>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</si>
  <si>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</si>
  <si>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</si>
  <si>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</si>
  <si>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</si>
  <si>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</si>
  <si>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</si>
  <si>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</si>
  <si>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</si>
  <si>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</si>
  <si>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</si>
  <si>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</si>
  <si>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</si>
  <si>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</si>
  <si>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</si>
  <si>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</si>
  <si>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</si>
  <si>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</si>
  <si>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</si>
  <si>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</si>
  <si>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</si>
  <si>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</si>
  <si>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</si>
  <si>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</si>
  <si>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</si>
  <si>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</si>
  <si>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</si>
  <si>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</si>
  <si>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</si>
  <si>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</si>
  <si>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</si>
  <si>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</si>
  <si>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</si>
  <si>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</si>
  <si>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</si>
  <si>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</si>
  <si>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</si>
  <si>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</si>
  <si>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</si>
  <si>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</si>
  <si>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</si>
  <si>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</si>
  <si>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</si>
  <si>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</si>
  <si>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</si>
  <si>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</si>
  <si>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</si>
  <si>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</si>
  <si>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</si>
  <si>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</si>
  <si>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</si>
  <si>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</si>
  <si>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</si>
  <si>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</si>
  <si>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</si>
  <si>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</si>
  <si>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</si>
  <si>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</si>
  <si>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</si>
  <si>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</si>
  <si>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</si>
  <si>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</si>
  <si>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</si>
  <si>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</si>
  <si>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</si>
  <si>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</si>
  <si>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</si>
  <si>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</si>
  <si>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</si>
  <si>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</si>
  <si>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</si>
  <si>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</si>
  <si>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</si>
  <si>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</si>
  <si>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</si>
  <si>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</si>
  <si>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</si>
  <si>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</si>
  <si>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</si>
  <si>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</si>
  <si>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</si>
  <si>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</si>
  <si>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</si>
  <si>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</si>
  <si>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</si>
  <si>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</si>
  <si>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</si>
  <si>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</si>
  <si>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</si>
  <si>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</si>
  <si>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</si>
  <si>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</si>
  <si>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</si>
  <si>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</si>
  <si>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</si>
  <si>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</si>
  <si>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</si>
  <si>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</si>
  <si>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</si>
  <si>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</si>
  <si>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</si>
  <si>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</si>
  <si>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</si>
  <si>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</si>
  <si>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</si>
  <si>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</si>
  <si>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</si>
  <si>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</si>
  <si>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</si>
  <si>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</si>
  <si>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</si>
  <si>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</si>
  <si>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</si>
  <si>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</si>
  <si>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</si>
  <si>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</si>
  <si>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</si>
  <si>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</si>
  <si>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</si>
  <si>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</si>
  <si>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</si>
  <si>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</si>
  <si>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</si>
  <si>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</si>
  <si>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</si>
  <si>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</si>
  <si>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</si>
  <si>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</si>
  <si>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</si>
  <si>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</si>
  <si>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</si>
  <si>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</si>
  <si>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</si>
  <si>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</si>
  <si>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</si>
  <si>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</si>
  <si>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</si>
  <si>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</si>
  <si>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</si>
  <si>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</si>
  <si>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</si>
  <si>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</si>
  <si>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</si>
  <si>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</si>
  <si>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</si>
  <si>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</si>
  <si>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</si>
  <si>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</si>
  <si>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</si>
  <si>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</si>
  <si>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</si>
  <si>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</si>
  <si>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</si>
  <si>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</si>
  <si>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</si>
  <si>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</si>
  <si>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</si>
  <si>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</si>
  <si>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</si>
  <si>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</si>
  <si>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</si>
  <si>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</si>
  <si>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</si>
  <si>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</si>
  <si>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</si>
  <si>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</si>
  <si>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</si>
  <si>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</si>
  <si>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</si>
  <si>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</si>
  <si>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</si>
  <si>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</si>
  <si>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</si>
  <si>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</si>
  <si>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</si>
  <si>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</si>
  <si>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</si>
  <si>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</si>
  <si>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</si>
  <si>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</si>
  <si>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</si>
  <si>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</si>
  <si>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</si>
  <si>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</si>
  <si>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</si>
  <si>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</si>
  <si>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</si>
  <si>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</si>
  <si>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</si>
  <si>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</si>
  <si>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</si>
  <si>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</si>
  <si>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</si>
  <si>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</si>
  <si>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</si>
  <si>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</si>
  <si>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</si>
  <si>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</si>
  <si>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</si>
  <si>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</si>
  <si>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</si>
  <si>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</si>
  <si>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</si>
  <si>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</si>
  <si>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</si>
  <si>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</si>
  <si>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</si>
  <si>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</si>
  <si>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</si>
  <si>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</si>
  <si>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</si>
  <si>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</si>
  <si>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</si>
  <si>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</si>
  <si>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</si>
  <si>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</si>
  <si>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</si>
  <si>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</si>
  <si>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</si>
  <si>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</si>
  <si>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</si>
  <si>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</si>
  <si>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</si>
  <si>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</si>
  <si>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</si>
  <si>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</si>
  <si>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</si>
  <si>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</si>
  <si>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</si>
  <si>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</si>
  <si>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</si>
  <si>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</si>
  <si>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</si>
  <si>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</si>
  <si>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</si>
  <si>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</si>
  <si>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</si>
  <si>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</si>
  <si>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</si>
  <si>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</si>
  <si>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</si>
  <si>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</si>
  <si>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</si>
  <si>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</si>
  <si>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</si>
  <si>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</si>
  <si>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</si>
  <si>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</si>
  <si>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</si>
  <si>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</si>
  <si>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</si>
  <si>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</si>
  <si>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</si>
  <si>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</si>
  <si>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</si>
  <si>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</si>
  <si>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</si>
  <si>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</si>
  <si>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</si>
  <si>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</si>
  <si>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</si>
  <si>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</si>
  <si>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</si>
  <si>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</si>
  <si>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</si>
  <si>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</si>
  <si>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</si>
  <si>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</si>
  <si>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</si>
  <si>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</si>
  <si>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</si>
  <si>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</si>
  <si>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</si>
  <si>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</si>
  <si>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</si>
  <si>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</si>
  <si>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</si>
  <si>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</si>
  <si>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</si>
  <si>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</si>
  <si>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</si>
  <si>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</si>
  <si>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</si>
  <si>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</si>
  <si>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</si>
  <si>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</si>
  <si>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</si>
  <si>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</si>
  <si>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</si>
  <si>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</si>
  <si>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</si>
  <si>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</si>
  <si>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</si>
  <si>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</si>
  <si>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</si>
  <si>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</si>
  <si>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</si>
  <si>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</si>
  <si>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</si>
  <si>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</si>
  <si>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</si>
  <si>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</si>
  <si>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</si>
  <si>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</si>
  <si>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</si>
  <si>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</si>
  <si>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</si>
  <si>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</si>
  <si>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</si>
  <si>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</si>
  <si>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</si>
  <si>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</si>
  <si>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</si>
  <si>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</si>
  <si>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</si>
  <si>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</si>
  <si>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</si>
  <si>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</si>
  <si>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</si>
  <si>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</si>
  <si>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</si>
  <si>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</si>
  <si>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</si>
  <si>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</si>
  <si>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</si>
  <si>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</si>
  <si>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</si>
  <si>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</si>
  <si>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</si>
  <si>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</si>
  <si>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</si>
  <si>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</si>
  <si>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</si>
  <si>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</si>
  <si>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</si>
  <si>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</si>
  <si>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</si>
  <si>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</si>
  <si>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</si>
  <si>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</si>
  <si>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</si>
  <si>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</si>
  <si>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</si>
  <si>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</si>
  <si>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</si>
  <si>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</si>
  <si>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</si>
  <si>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</si>
  <si>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</si>
  <si>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</si>
  <si>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</si>
  <si>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</si>
  <si>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</si>
  <si>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</si>
  <si>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</si>
  <si>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</si>
  <si>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</si>
  <si>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</si>
  <si>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</si>
  <si>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</si>
  <si>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</si>
  <si>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</si>
  <si>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</si>
  <si>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</si>
  <si>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</si>
  <si>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</si>
  <si>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</si>
  <si>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</si>
  <si>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</si>
  <si>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</si>
  <si>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</si>
  <si>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</si>
  <si>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</si>
  <si>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</si>
  <si>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</si>
  <si>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</si>
  <si>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</si>
  <si>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</si>
  <si>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</si>
  <si>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</si>
  <si>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</si>
  <si>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</si>
  <si>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</si>
  <si>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</si>
  <si>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</si>
  <si>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</si>
  <si>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</si>
  <si>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</si>
  <si>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</si>
  <si>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</si>
  <si>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</si>
  <si>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</si>
  <si>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</si>
  <si>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</si>
  <si>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</si>
  <si>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</si>
  <si>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</si>
  <si>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</si>
  <si>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</si>
  <si>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</si>
  <si>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</si>
  <si>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</si>
  <si>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</si>
  <si>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</si>
  <si>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</si>
  <si>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</si>
  <si>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</si>
  <si>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</si>
  <si>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</si>
  <si>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</si>
  <si>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</si>
  <si>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</si>
  <si>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</si>
  <si>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</si>
  <si>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</si>
  <si>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</si>
  <si>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</si>
  <si>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</si>
  <si>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</si>
  <si>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</si>
  <si>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</si>
  <si>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</si>
  <si>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</si>
  <si>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</si>
  <si>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</si>
  <si>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</si>
  <si>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</si>
  <si>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</si>
  <si>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</si>
  <si>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</si>
  <si>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</si>
  <si>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</si>
  <si>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</si>
  <si>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</si>
  <si>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</si>
  <si>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</si>
  <si>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</si>
  <si>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</si>
  <si>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</si>
  <si>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</si>
  <si>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</si>
  <si>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</si>
  <si>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</si>
  <si>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</si>
  <si>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</si>
  <si>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</si>
  <si>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</si>
  <si>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</si>
  <si>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</si>
  <si>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</si>
  <si>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</si>
  <si>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</si>
  <si>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</si>
  <si>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</si>
  <si>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</si>
  <si>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</si>
  <si>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</si>
  <si>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</si>
  <si>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</si>
  <si>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</si>
  <si>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</si>
  <si>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</si>
  <si>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</si>
  <si>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</si>
  <si>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</si>
  <si>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</si>
  <si>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</si>
  <si>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</si>
  <si>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</si>
  <si>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</si>
  <si>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</si>
  <si>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</si>
  <si>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</si>
  <si>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</si>
  <si>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</si>
  <si>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</si>
  <si>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</si>
  <si>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</si>
  <si>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</si>
  <si>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</si>
  <si>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</si>
  <si>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</si>
  <si>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</si>
  <si>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</si>
  <si>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</si>
  <si>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</si>
  <si>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</si>
  <si>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</si>
  <si>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</si>
  <si>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</si>
  <si>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</si>
  <si>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</si>
  <si>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</si>
  <si>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</si>
  <si>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</si>
  <si>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</si>
  <si>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</si>
  <si>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</si>
  <si>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</si>
  <si>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</si>
  <si>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</si>
  <si>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</si>
  <si>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</si>
  <si>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</si>
  <si>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</si>
  <si>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</si>
  <si>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</si>
  <si>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</si>
  <si>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</si>
  <si>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</si>
  <si>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</si>
  <si>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</si>
  <si>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</si>
  <si>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</si>
  <si>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</si>
  <si>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</si>
  <si>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</si>
  <si>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</si>
  <si>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</si>
  <si>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</si>
  <si>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</si>
  <si>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</si>
  <si>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</si>
  <si>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</si>
  <si>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</si>
  <si>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</si>
  <si>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</si>
  <si>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</si>
  <si>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</si>
  <si>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</si>
  <si>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</si>
  <si>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</si>
  <si>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</si>
  <si>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</si>
  <si>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</si>
  <si>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</si>
  <si>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</si>
  <si>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</si>
  <si>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</si>
  <si>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</si>
  <si>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</si>
  <si>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</si>
  <si>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</si>
  <si>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</si>
  <si>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</si>
  <si>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</si>
  <si>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</si>
  <si>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</si>
  <si>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</si>
  <si>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</si>
  <si>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</si>
  <si>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</si>
  <si>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</si>
  <si>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</si>
  <si>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</si>
  <si>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</si>
  <si>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</si>
  <si>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</si>
  <si>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</si>
  <si>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</si>
  <si>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</si>
  <si>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</si>
  <si>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</si>
  <si>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</si>
  <si>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</si>
  <si>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</si>
  <si>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</si>
  <si>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</si>
  <si>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</si>
  <si>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</si>
  <si>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</si>
  <si>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</si>
  <si>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</si>
  <si>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</si>
  <si>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</si>
  <si>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</si>
  <si>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</si>
  <si>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</si>
  <si>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</si>
  <si>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</si>
  <si>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</si>
  <si>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</si>
  <si>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</si>
  <si>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</si>
  <si>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</si>
  <si>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</si>
  <si>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</si>
  <si>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</si>
  <si>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</si>
  <si>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</si>
  <si>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</si>
  <si>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</si>
  <si>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</si>
  <si>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</si>
  <si>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</si>
  <si>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</si>
  <si>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</si>
  <si>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</si>
  <si>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</si>
  <si>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</si>
  <si>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</si>
  <si>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</si>
  <si>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</si>
  <si>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</si>
  <si>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</si>
  <si>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</si>
  <si>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</si>
  <si>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</si>
  <si>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</si>
  <si>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</si>
  <si>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</si>
  <si>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</si>
  <si>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</si>
  <si>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</si>
  <si>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</si>
  <si>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</si>
  <si>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</si>
  <si>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</si>
  <si>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</si>
  <si>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</si>
  <si>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</si>
  <si>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</si>
  <si>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</si>
  <si>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</si>
  <si>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</si>
  <si>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</si>
  <si>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</si>
  <si>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</si>
  <si>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</si>
  <si>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</si>
  <si>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</si>
  <si>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</si>
  <si>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</si>
  <si>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</si>
  <si>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</si>
  <si>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</si>
  <si>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</si>
  <si>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</si>
  <si>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</si>
  <si>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</si>
  <si>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</si>
  <si>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</si>
  <si>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</si>
  <si>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</si>
  <si>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</si>
  <si>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</si>
  <si>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</si>
  <si>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</si>
  <si>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</si>
  <si>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</si>
  <si>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</si>
  <si>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</si>
  <si>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</si>
  <si>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</si>
  <si>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</si>
  <si>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</si>
  <si>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</si>
  <si>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</si>
  <si>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</si>
  <si>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</si>
  <si>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</si>
  <si>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</si>
  <si>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</si>
  <si>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</si>
  <si>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</si>
  <si>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</si>
  <si>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</si>
  <si>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</si>
  <si>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</si>
  <si>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</si>
  <si>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</si>
  <si>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</si>
  <si>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</si>
  <si>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</si>
  <si>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</si>
  <si>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</si>
  <si>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</si>
  <si>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</si>
  <si>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</si>
  <si>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</si>
  <si>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</si>
  <si>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</si>
  <si>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</si>
  <si>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</si>
  <si>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</si>
  <si>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</si>
  <si>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</si>
  <si>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</si>
  <si>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</si>
  <si>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</si>
  <si>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</si>
  <si>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</si>
  <si>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</si>
  <si>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</si>
  <si>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</si>
  <si>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</si>
  <si>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</si>
  <si>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</si>
  <si>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</si>
  <si>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</si>
  <si>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</si>
  <si>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</si>
  <si>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</si>
  <si>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</si>
  <si>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</si>
  <si>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</si>
  <si>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</si>
  <si>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</si>
  <si>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</si>
  <si>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</si>
  <si>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</si>
  <si>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</si>
  <si>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</si>
  <si>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</si>
  <si>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</si>
  <si>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</si>
  <si>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</si>
  <si>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</si>
  <si>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</si>
  <si>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</si>
  <si>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</si>
  <si>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</si>
  <si>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</si>
  <si>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</si>
  <si>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</si>
  <si>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</si>
  <si>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</si>
  <si>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</si>
  <si>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</si>
  <si>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</si>
  <si>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</si>
  <si>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</si>
  <si>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</si>
  <si>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</si>
  <si>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</si>
  <si>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</si>
  <si>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</si>
  <si>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</si>
  <si>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</si>
  <si>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</si>
  <si>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</si>
  <si>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</si>
  <si>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</si>
  <si>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</si>
  <si>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</si>
  <si>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</si>
  <si>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</si>
  <si>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</si>
  <si>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</si>
  <si>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</si>
  <si>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</si>
  <si>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</si>
  <si>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</si>
  <si>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</si>
  <si>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</si>
  <si>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</si>
  <si>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</si>
  <si>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</si>
  <si>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</si>
  <si>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</si>
  <si>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</si>
  <si>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</si>
  <si>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</si>
  <si>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</si>
  <si>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</si>
  <si>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</si>
  <si>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</si>
  <si>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</si>
  <si>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</si>
  <si>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</si>
  <si>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</si>
  <si>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</si>
  <si>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</si>
  <si>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</si>
  <si>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</si>
  <si>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</si>
  <si>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</si>
  <si>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</si>
  <si>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</si>
  <si>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</si>
  <si>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</si>
  <si>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</si>
  <si>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</si>
  <si>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</si>
  <si>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</si>
  <si>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</si>
  <si>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</si>
  <si>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</si>
  <si>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</si>
  <si>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</si>
  <si>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</si>
  <si>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</si>
  <si>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</si>
  <si>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</si>
  <si>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</si>
  <si>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</si>
  <si>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</si>
  <si>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</si>
  <si>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</si>
  <si>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</si>
  <si>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</si>
  <si>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</si>
  <si>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</si>
  <si>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</si>
  <si>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</si>
  <si>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</si>
  <si>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</si>
  <si>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</si>
  <si>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</si>
  <si>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</si>
  <si>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</si>
  <si>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</si>
  <si>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</si>
  <si>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</si>
  <si>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</si>
  <si>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</si>
  <si>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</si>
  <si>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</si>
  <si>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</si>
  <si>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</si>
  <si>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</si>
  <si>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</si>
  <si>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</si>
  <si>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</si>
  <si>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</si>
  <si>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</si>
  <si>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</si>
  <si>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</si>
  <si>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</si>
  <si>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</si>
  <si>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</si>
  <si>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</si>
  <si>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</si>
  <si>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</si>
  <si>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</si>
  <si>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</si>
  <si>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</si>
  <si>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</si>
  <si>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</si>
  <si>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</si>
  <si>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</si>
  <si>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</si>
  <si>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</si>
  <si>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</si>
  <si>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</si>
  <si>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</si>
  <si>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</si>
  <si>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</si>
  <si>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</si>
  <si>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</si>
  <si>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</si>
  <si>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</si>
  <si>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</si>
  <si>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</si>
  <si>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</si>
  <si>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</si>
  <si>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</si>
  <si>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</si>
  <si>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</si>
  <si>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</si>
  <si>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</si>
  <si>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</si>
  <si>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</si>
  <si>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</si>
  <si>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</si>
  <si>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</si>
  <si>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</si>
  <si>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</si>
  <si>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</si>
  <si>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</si>
  <si>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</si>
  <si>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</si>
  <si>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</si>
  <si>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</si>
  <si>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</si>
  <si>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</si>
  <si>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</si>
  <si>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</si>
  <si>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</si>
  <si>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</si>
  <si>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</si>
  <si>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</si>
  <si>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</si>
  <si>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</si>
  <si>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</si>
  <si>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</si>
  <si>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</si>
  <si>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</si>
  <si>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</si>
  <si>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</si>
  <si>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</si>
  <si>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</si>
  <si>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</si>
  <si>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</si>
  <si>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</si>
  <si>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</si>
  <si>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</si>
  <si>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</si>
  <si>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</si>
  <si>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</si>
  <si>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</si>
  <si>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</si>
  <si>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</si>
  <si>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</si>
  <si>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</si>
  <si>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</si>
  <si>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</si>
  <si>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</si>
  <si>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</si>
  <si>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</si>
  <si>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</si>
  <si>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</si>
  <si>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</si>
  <si>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</si>
  <si>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</si>
  <si>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</si>
  <si>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</si>
  <si>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</si>
  <si>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</si>
  <si>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</si>
  <si>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</si>
  <si>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</si>
  <si>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</si>
  <si>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</si>
  <si>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</si>
  <si>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</si>
  <si>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</si>
  <si>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</si>
  <si>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</si>
  <si>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</si>
  <si>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</si>
  <si>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</si>
  <si>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</si>
  <si>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</si>
  <si>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</si>
  <si>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</si>
  <si>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</si>
  <si>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</si>
  <si>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</si>
  <si>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</si>
  <si>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</si>
  <si>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</si>
  <si>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</si>
  <si>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</si>
  <si>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</si>
  <si>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</si>
  <si>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</si>
  <si>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</si>
  <si>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</si>
  <si>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</si>
  <si>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</si>
  <si>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</si>
  <si>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</si>
  <si>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</si>
  <si>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</si>
  <si>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</si>
  <si>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</si>
  <si>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</si>
  <si>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</si>
  <si>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</si>
  <si>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</si>
  <si>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</si>
  <si>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</si>
  <si>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</si>
  <si>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</si>
  <si>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</si>
  <si>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</si>
  <si>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</si>
  <si>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</si>
  <si>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</si>
  <si>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</si>
  <si>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</si>
  <si>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</si>
  <si>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</si>
  <si>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</si>
  <si>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</si>
  <si>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</si>
  <si>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</si>
  <si>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</si>
  <si>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</si>
  <si>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</si>
  <si>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</si>
  <si>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</si>
  <si>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</si>
  <si>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</si>
  <si>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</si>
  <si>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</si>
  <si>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</si>
  <si>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</si>
  <si>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</si>
  <si>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</si>
  <si>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</si>
  <si>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</si>
  <si>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</si>
  <si>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</si>
  <si>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</si>
  <si>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</si>
  <si>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</si>
  <si>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</si>
  <si>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</si>
  <si>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</si>
  <si>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</si>
  <si>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</si>
  <si>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</si>
  <si>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</si>
  <si>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</si>
  <si>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</si>
  <si>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</si>
  <si>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</si>
  <si>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</si>
  <si>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</si>
  <si>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</si>
  <si>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</si>
  <si>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</si>
  <si>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</si>
  <si>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</si>
  <si>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</si>
  <si>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</si>
  <si>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</si>
  <si>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</si>
  <si>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</si>
  <si>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</si>
  <si>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</si>
  <si>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</si>
  <si>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</si>
  <si>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</si>
  <si>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</si>
  <si>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</si>
  <si>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</si>
  <si>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</si>
  <si>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</si>
  <si>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</si>
  <si>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</si>
  <si>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</si>
  <si>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</si>
  <si>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</si>
  <si>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</si>
  <si>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</si>
  <si>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</si>
  <si>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</si>
  <si>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</si>
  <si>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</si>
  <si>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</si>
  <si>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</si>
  <si>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</si>
  <si>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</si>
  <si>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</si>
  <si>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</si>
  <si>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</si>
  <si>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</si>
  <si>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</si>
  <si>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</si>
  <si>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</si>
  <si>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</si>
  <si>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</si>
  <si>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</si>
  <si>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</si>
  <si>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</si>
  <si>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</si>
  <si>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</si>
  <si>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</si>
  <si>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</si>
  <si>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</si>
  <si>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</si>
  <si>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</si>
  <si>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</si>
  <si>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</si>
  <si>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</si>
  <si>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</si>
  <si>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</si>
  <si>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</si>
  <si>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</si>
  <si>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</si>
  <si>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</si>
  <si>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</si>
  <si>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</si>
  <si>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</si>
  <si>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</si>
  <si>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</si>
  <si>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</si>
  <si>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</si>
  <si>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</si>
  <si>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</si>
  <si>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</si>
  <si>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</si>
  <si>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</si>
  <si>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</si>
  <si>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</si>
  <si>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</si>
  <si>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</si>
  <si>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</si>
  <si>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</si>
  <si>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</si>
  <si>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</si>
  <si>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</si>
  <si>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</si>
  <si>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</si>
  <si>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</si>
  <si>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</si>
  <si>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</si>
  <si>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</si>
  <si>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</si>
  <si>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</si>
  <si>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</si>
  <si>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</si>
  <si>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</si>
  <si>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</si>
  <si>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</si>
  <si>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</si>
  <si>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</si>
  <si>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</si>
  <si>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</si>
  <si>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</si>
  <si>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</si>
  <si>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</si>
  <si>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</si>
  <si>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</si>
  <si>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</si>
  <si>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</si>
  <si>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</si>
  <si>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</si>
  <si>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</si>
  <si>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</si>
  <si>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</si>
  <si>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</si>
  <si>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</si>
  <si>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</si>
  <si>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</si>
  <si>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</si>
  <si>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</si>
  <si>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</si>
  <si>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</si>
  <si>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</si>
  <si>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</si>
  <si>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</si>
  <si>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</si>
  <si>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</si>
  <si>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</si>
  <si>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</si>
  <si>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</si>
  <si>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</si>
  <si>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</si>
  <si>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</si>
  <si>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</si>
  <si>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</si>
  <si>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</si>
  <si>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</si>
  <si>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</si>
  <si>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</si>
  <si>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</si>
  <si>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</si>
  <si>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</si>
  <si>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</si>
  <si>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</si>
  <si>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</si>
  <si>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</si>
  <si>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</si>
  <si>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</si>
  <si>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</si>
  <si>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</si>
  <si>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</si>
  <si>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</si>
  <si>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</si>
  <si>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</si>
  <si>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</si>
  <si>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</si>
  <si>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</si>
  <si>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</si>
  <si>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</si>
  <si>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</si>
  <si>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</si>
  <si>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</si>
  <si>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</si>
  <si>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</si>
  <si>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</si>
  <si>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</si>
  <si>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</si>
  <si>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</si>
  <si>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</si>
  <si>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</si>
  <si>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</si>
  <si>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</si>
  <si>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</si>
  <si>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</si>
  <si>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</si>
  <si>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</si>
  <si>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</si>
  <si>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</si>
  <si>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</si>
  <si>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</si>
  <si>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</si>
  <si>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</si>
  <si>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</si>
  <si>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</si>
  <si>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</si>
  <si>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</si>
  <si>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</si>
  <si>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</si>
  <si>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</si>
  <si>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</si>
  <si>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</si>
  <si>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</si>
  <si>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</si>
  <si>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</si>
  <si>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</si>
  <si>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</si>
  <si>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</si>
  <si>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</si>
  <si>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</si>
  <si>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</si>
  <si>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</si>
  <si>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</si>
  <si>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</si>
  <si>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</si>
  <si>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</si>
  <si>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</si>
  <si>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</si>
  <si>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</si>
  <si>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</si>
  <si>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</si>
  <si>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</si>
  <si>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</si>
  <si>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</si>
  <si>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</si>
  <si>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</si>
  <si>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</si>
  <si>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</si>
  <si>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</si>
  <si>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</si>
  <si>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</si>
  <si>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</si>
  <si>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</si>
  <si>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</si>
  <si>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</si>
  <si>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</si>
  <si>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</si>
  <si>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</si>
  <si>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</si>
  <si>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</si>
  <si>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</si>
  <si>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</si>
  <si>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</si>
  <si>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</si>
  <si>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</si>
  <si>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</si>
  <si>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</si>
  <si>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</si>
  <si>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</si>
  <si>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</si>
  <si>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</si>
  <si>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</si>
  <si>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</si>
  <si>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</si>
  <si>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</si>
  <si>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</si>
  <si>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</si>
  <si>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</si>
  <si>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</si>
  <si>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</si>
  <si>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</si>
  <si>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</si>
  <si>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</si>
  <si>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</si>
  <si>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</si>
  <si>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</si>
  <si>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</si>
  <si>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</si>
  <si>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</si>
  <si>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</si>
  <si>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</si>
  <si>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</si>
  <si>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</si>
  <si>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</si>
  <si>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</si>
  <si>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</si>
  <si>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</si>
  <si>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</si>
  <si>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</si>
  <si>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</si>
  <si>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</si>
  <si>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</si>
  <si>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</si>
  <si>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</si>
  <si>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</si>
  <si>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</si>
  <si>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</si>
  <si>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</si>
  <si>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</si>
  <si>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</si>
  <si>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</si>
  <si>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</si>
  <si>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</si>
  <si>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</si>
  <si>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</si>
  <si>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</si>
  <si>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</si>
  <si>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</si>
  <si>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</si>
  <si>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</si>
  <si>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</si>
  <si>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</si>
  <si>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</si>
  <si>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</si>
  <si>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</si>
  <si>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</si>
  <si>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</si>
  <si>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</si>
  <si>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</si>
  <si>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</si>
  <si>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</si>
  <si>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</si>
  <si>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</si>
  <si>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</si>
  <si>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</si>
  <si>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</si>
  <si>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</si>
  <si>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</si>
  <si>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</si>
  <si>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</si>
  <si>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</si>
  <si>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</si>
  <si>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</si>
  <si>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</si>
  <si>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</si>
  <si>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</si>
  <si>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</si>
  <si>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</si>
  <si>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</si>
  <si>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</si>
  <si>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</si>
  <si>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</si>
  <si>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</si>
  <si>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</si>
  <si>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</si>
  <si>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</si>
  <si>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</si>
  <si>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</si>
  <si>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</si>
  <si>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</si>
  <si>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</si>
  <si>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</si>
  <si>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</si>
  <si>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</si>
  <si>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</si>
  <si>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</si>
  <si>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</si>
  <si>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</si>
  <si>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</si>
  <si>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</si>
  <si>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</si>
  <si>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</si>
  <si>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</si>
  <si>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</si>
  <si>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</si>
  <si>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</si>
  <si>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</si>
  <si>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</si>
  <si>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</si>
  <si>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</si>
  <si>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</si>
  <si>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</si>
  <si>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</si>
  <si>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</si>
  <si>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</si>
  <si>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</si>
  <si>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</si>
  <si>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</si>
  <si>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</si>
  <si>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</si>
  <si>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</si>
  <si>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</si>
  <si>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</si>
  <si>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</si>
  <si>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</si>
  <si>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</si>
  <si>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</si>
  <si>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</si>
  <si>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</si>
  <si>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</si>
  <si>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</si>
  <si>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</si>
  <si>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</si>
  <si>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</si>
  <si>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</si>
  <si>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</si>
  <si>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</si>
  <si>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</si>
  <si>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</si>
  <si>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</si>
  <si>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</si>
  <si>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</si>
  <si>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</si>
  <si>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</si>
  <si>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</si>
  <si>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</si>
  <si>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</si>
  <si>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</si>
  <si>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</si>
  <si>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</si>
  <si>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</si>
  <si>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</si>
  <si>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</si>
  <si>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</si>
  <si>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</si>
  <si>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</si>
  <si>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</si>
  <si>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</si>
  <si>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</si>
  <si>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</si>
  <si>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</si>
  <si>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</si>
  <si>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</si>
  <si>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</si>
  <si>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</si>
  <si>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</si>
  <si>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</si>
  <si>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</si>
  <si>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</si>
  <si>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</si>
  <si>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</si>
  <si>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</si>
  <si>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</si>
  <si>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</si>
  <si>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</si>
  <si>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</si>
  <si>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</si>
  <si>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</si>
  <si>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</si>
  <si>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</si>
  <si>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</si>
  <si>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</si>
  <si>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</si>
  <si>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</si>
  <si>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</si>
  <si>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</si>
  <si>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</si>
  <si>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</si>
  <si>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</si>
  <si>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</si>
  <si>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</si>
  <si>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</si>
  <si>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</si>
  <si>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</si>
  <si>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</si>
  <si>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</si>
  <si>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</si>
  <si>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</si>
  <si>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</si>
  <si>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</si>
  <si>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</si>
  <si>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</si>
  <si>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</si>
  <si>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</si>
  <si>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</si>
  <si>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</si>
  <si>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</si>
  <si>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</si>
  <si>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</si>
  <si>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</si>
  <si>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</si>
  <si>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</si>
  <si>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</si>
  <si>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</si>
  <si>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</si>
  <si>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</si>
  <si>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</si>
  <si>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</si>
  <si>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</si>
  <si>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</si>
  <si>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</si>
  <si>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</si>
  <si>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</si>
  <si>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</si>
  <si>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</si>
  <si>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</si>
  <si>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</si>
  <si>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</si>
  <si>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</si>
  <si>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</si>
  <si>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</si>
  <si>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</si>
  <si>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</si>
  <si>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</si>
  <si>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</si>
  <si>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</si>
  <si>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</si>
  <si>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</si>
  <si>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</si>
  <si>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</si>
  <si>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</si>
  <si>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</si>
  <si>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</si>
  <si>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</si>
  <si>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</si>
  <si>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</si>
  <si>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</si>
  <si>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</si>
  <si>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</si>
  <si>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</si>
  <si>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</si>
  <si>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</si>
  <si>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</si>
  <si>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</si>
  <si>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</si>
  <si>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</si>
  <si>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</si>
  <si>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</si>
  <si>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</si>
  <si>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</si>
  <si>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</si>
  <si>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</si>
  <si>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</si>
  <si>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</si>
  <si>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</si>
  <si>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</si>
  <si>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</si>
  <si>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</si>
  <si>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</si>
  <si>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</si>
  <si>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</si>
  <si>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</si>
  <si>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</si>
  <si>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</si>
  <si>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</si>
  <si>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</si>
  <si>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</si>
  <si>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</si>
  <si>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</si>
  <si>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</si>
  <si>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</si>
  <si>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</si>
  <si>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</si>
  <si>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</si>
  <si>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</si>
  <si>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</si>
  <si>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</si>
  <si>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</si>
  <si>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</si>
  <si>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</si>
  <si>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</si>
  <si>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</si>
  <si>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</si>
  <si>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</si>
  <si>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</si>
  <si>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</si>
  <si>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</si>
  <si>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</si>
  <si>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</si>
  <si>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</si>
  <si>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</si>
  <si>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</si>
  <si>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</si>
  <si>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</si>
  <si>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</si>
  <si>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</si>
  <si>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</si>
  <si>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</si>
  <si>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</si>
  <si>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</si>
  <si>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</si>
  <si>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</si>
  <si>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</si>
  <si>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</si>
  <si>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</si>
  <si>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</si>
  <si>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</si>
  <si>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</si>
  <si>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</si>
  <si>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</si>
  <si>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</si>
  <si>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</si>
  <si>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</si>
  <si>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</si>
  <si>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</si>
  <si>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</si>
  <si>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</si>
  <si>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</si>
  <si>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</si>
  <si>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</si>
  <si>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</si>
  <si>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</si>
  <si>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</si>
  <si>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</si>
  <si>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</si>
  <si>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</si>
  <si>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</si>
  <si>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</si>
  <si>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</si>
  <si>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</si>
  <si>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</si>
  <si>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</si>
  <si>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</si>
  <si>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</si>
  <si>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</si>
  <si>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</si>
  <si>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</si>
  <si>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</si>
  <si>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</si>
  <si>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</si>
  <si>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</si>
  <si>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</si>
  <si>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</si>
  <si>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</si>
  <si>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</si>
  <si>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</si>
  <si>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</si>
  <si>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</si>
  <si>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</si>
  <si>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</si>
  <si>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</si>
  <si>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</si>
  <si>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</si>
  <si>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</si>
  <si>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</si>
  <si>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</si>
  <si>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</si>
  <si>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</si>
  <si>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</si>
  <si>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</si>
  <si>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</si>
  <si>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</si>
  <si>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</si>
  <si>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</si>
  <si>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</si>
  <si>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</si>
  <si>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</si>
  <si>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</si>
  <si>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</si>
  <si>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</si>
  <si>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</si>
  <si>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</si>
  <si>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</si>
  <si>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</si>
  <si>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</si>
  <si>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</si>
  <si>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</si>
  <si>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</si>
  <si>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</si>
  <si>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</si>
  <si>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</si>
  <si>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</si>
  <si>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</si>
  <si>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</si>
  <si>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</si>
  <si>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</si>
  <si>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</si>
  <si>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</si>
  <si>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</si>
  <si>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</si>
  <si>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</si>
  <si>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</si>
  <si>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</si>
  <si>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</si>
  <si>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</si>
  <si>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</si>
  <si>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</si>
  <si>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</si>
  <si>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</si>
  <si>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</si>
  <si>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</si>
  <si>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</si>
  <si>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</si>
  <si>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</si>
  <si>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</si>
  <si>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</si>
  <si>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</si>
  <si>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</si>
  <si>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</si>
  <si>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</si>
  <si>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</si>
  <si>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</si>
  <si>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</si>
  <si>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</si>
  <si>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</si>
  <si>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</si>
  <si>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</si>
  <si>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</si>
  <si>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</si>
  <si>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</si>
  <si>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</si>
  <si>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</si>
  <si>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</si>
  <si>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</si>
  <si>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</si>
  <si>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</si>
  <si>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</si>
  <si>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</si>
  <si>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</si>
  <si>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</si>
  <si>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</si>
  <si>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</si>
  <si>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</si>
  <si>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</si>
  <si>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</si>
  <si>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</si>
  <si>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</si>
  <si>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</si>
  <si>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</si>
  <si>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</si>
  <si>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</si>
  <si>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</si>
  <si>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</si>
  <si>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</si>
  <si>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</si>
  <si>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</si>
  <si>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</si>
  <si>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</si>
  <si>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</si>
  <si>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</si>
  <si>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</si>
  <si>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</si>
  <si>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</si>
  <si>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</si>
  <si>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</si>
  <si>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</si>
  <si>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</si>
  <si>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</si>
  <si>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</si>
  <si>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</si>
  <si>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</si>
  <si>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</si>
  <si>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</si>
  <si>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</si>
  <si>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</si>
  <si>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</si>
  <si>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</si>
  <si>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</si>
  <si>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</si>
  <si>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</si>
  <si>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</si>
  <si>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</si>
  <si>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</si>
  <si>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</si>
  <si>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</si>
  <si>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</si>
  <si>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</si>
  <si>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</si>
  <si>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</si>
  <si>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</si>
  <si>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</si>
  <si>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</si>
  <si>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</si>
  <si>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</si>
  <si>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</si>
  <si>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</si>
  <si>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</si>
  <si>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</si>
  <si>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</si>
  <si>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</si>
  <si>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</si>
  <si>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</si>
  <si>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</si>
  <si>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</si>
  <si>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</si>
  <si>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</si>
  <si>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</si>
  <si>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</si>
  <si>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</si>
  <si>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</si>
  <si>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</si>
  <si>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</si>
  <si>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</si>
  <si>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</si>
  <si>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</si>
  <si>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</si>
  <si>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</si>
  <si>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</si>
  <si>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</si>
  <si>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</si>
  <si>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</si>
  <si>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</si>
  <si>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</si>
  <si>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</si>
  <si>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</si>
  <si>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</si>
  <si>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</si>
  <si>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</si>
  <si>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</si>
  <si>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</si>
  <si>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</si>
  <si>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</si>
  <si>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</si>
  <si>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</si>
  <si>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</si>
  <si>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</si>
  <si>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</si>
  <si>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</si>
  <si>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</si>
  <si>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</si>
  <si>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</si>
  <si>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</si>
  <si>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</si>
  <si>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</si>
  <si>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</si>
  <si>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</si>
  <si>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</si>
  <si>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</si>
  <si>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</si>
  <si>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</si>
  <si>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</si>
  <si>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</si>
  <si>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</si>
  <si>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</si>
  <si>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</si>
  <si>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</si>
  <si>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</si>
  <si>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</si>
  <si>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</si>
  <si>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</si>
  <si>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</si>
  <si>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</si>
  <si>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</si>
  <si>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</si>
  <si>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</si>
  <si>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</si>
  <si>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</si>
  <si>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</si>
  <si>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</si>
  <si>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</si>
  <si>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</si>
  <si>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</si>
  <si>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</si>
  <si>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</si>
  <si>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</si>
  <si>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</si>
  <si>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</si>
  <si>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</si>
  <si>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</si>
  <si>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</si>
  <si>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</si>
  <si>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</si>
  <si>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</si>
  <si>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</si>
  <si>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</si>
  <si>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</si>
  <si>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</si>
  <si>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</si>
  <si>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</si>
  <si>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</si>
  <si>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</si>
  <si>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</si>
  <si>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</si>
  <si>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</si>
  <si>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</si>
  <si>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</si>
  <si>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</si>
  <si>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</si>
  <si>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</si>
  <si>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</si>
  <si>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</si>
  <si>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</si>
  <si>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</si>
  <si>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</si>
  <si>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</si>
  <si>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</si>
  <si>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</si>
  <si>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</si>
  <si>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</si>
  <si>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</si>
  <si>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</si>
  <si>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</si>
  <si>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</si>
  <si>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</si>
  <si>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</si>
  <si>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</si>
  <si>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</si>
  <si>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</si>
  <si>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</si>
  <si>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</si>
  <si>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</si>
  <si>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</si>
  <si>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</si>
  <si>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</si>
  <si>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</si>
  <si>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</si>
  <si>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</si>
  <si>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</si>
  <si>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</si>
  <si>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</si>
  <si>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</si>
  <si>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</si>
  <si>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</si>
  <si>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</si>
  <si>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</si>
  <si>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</si>
  <si>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</si>
  <si>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</si>
  <si>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</si>
  <si>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</si>
  <si>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</si>
  <si>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</si>
  <si>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</si>
  <si>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</si>
  <si>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</si>
  <si>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</si>
  <si>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</si>
  <si>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</si>
  <si>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</si>
  <si>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</si>
  <si>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</si>
  <si>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</si>
  <si>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</si>
  <si>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</si>
  <si>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</si>
  <si>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</si>
  <si>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</si>
  <si>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</si>
  <si>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</si>
  <si>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</si>
  <si>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</si>
  <si>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</si>
  <si>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</si>
  <si>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</si>
  <si>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</si>
  <si>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</si>
  <si>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</si>
  <si>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</si>
  <si>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</si>
  <si>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</si>
  <si>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</si>
  <si>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</si>
  <si>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</si>
  <si>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</si>
  <si>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</si>
  <si>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</si>
  <si>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</si>
  <si>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</si>
  <si>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</si>
  <si>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</si>
  <si>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</si>
  <si>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</si>
  <si>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</si>
  <si>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</si>
  <si>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</si>
  <si>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</si>
  <si>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</si>
  <si>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</si>
  <si>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</si>
  <si>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</si>
  <si>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</si>
  <si>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</si>
  <si>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</si>
  <si>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</si>
  <si>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</si>
  <si>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</si>
  <si>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</si>
  <si>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</si>
  <si>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</si>
  <si>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</si>
  <si>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</si>
  <si>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</si>
  <si>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</si>
  <si>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</si>
  <si>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</si>
  <si>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</si>
  <si>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</si>
  <si>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</si>
  <si>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</si>
  <si>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</si>
  <si>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</si>
  <si>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</si>
  <si>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</si>
  <si>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</si>
  <si>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</si>
  <si>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</si>
  <si>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</si>
  <si>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</si>
  <si>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</si>
  <si>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</si>
  <si>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</si>
  <si>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</si>
  <si>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</si>
  <si>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</si>
  <si>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</si>
  <si>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</si>
  <si>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</si>
  <si>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</si>
  <si>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</si>
  <si>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</si>
  <si>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</si>
  <si>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</si>
  <si>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</si>
  <si>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</si>
  <si>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</si>
  <si>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</si>
  <si>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</si>
  <si>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</si>
  <si>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</si>
  <si>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</si>
  <si>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</si>
  <si>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</si>
  <si>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</si>
  <si>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</si>
  <si>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</si>
  <si>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</si>
  <si>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</si>
  <si>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</si>
  <si>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</si>
  <si>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</si>
  <si>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</si>
  <si>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</si>
  <si>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</si>
  <si>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</si>
  <si>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</si>
  <si>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</si>
  <si>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</si>
  <si>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</si>
  <si>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</si>
  <si>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</si>
  <si>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</si>
  <si>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</si>
  <si>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</si>
  <si>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</si>
  <si>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</si>
  <si>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</si>
  <si>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</si>
  <si>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</si>
  <si>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</si>
  <si>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</si>
  <si>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</si>
  <si>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</si>
  <si>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</si>
  <si>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</si>
  <si>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</si>
  <si>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</si>
  <si>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</si>
  <si>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</si>
  <si>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</si>
  <si>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</si>
  <si>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</si>
  <si>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</si>
  <si>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</si>
  <si>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</si>
  <si>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</si>
  <si>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</si>
  <si>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</si>
  <si>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</si>
  <si>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</si>
  <si>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</si>
  <si>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</si>
  <si>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</si>
  <si>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</si>
  <si>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</si>
  <si>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</si>
  <si>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</si>
  <si>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</si>
  <si>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</si>
  <si>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</si>
  <si>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</si>
  <si>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</si>
  <si>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</si>
  <si>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</si>
  <si>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</si>
  <si>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</si>
  <si>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</si>
  <si>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</si>
  <si>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</si>
  <si>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</si>
  <si>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</si>
  <si>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</si>
  <si>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</si>
  <si>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</si>
  <si>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</si>
  <si>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</si>
  <si>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</si>
  <si>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</si>
  <si>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</si>
  <si>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</si>
  <si>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</si>
  <si>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</si>
  <si>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</si>
  <si>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</si>
  <si>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</si>
  <si>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</si>
  <si>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</si>
  <si>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</si>
  <si>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</si>
  <si>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</si>
  <si>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</si>
  <si>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</si>
  <si>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</si>
  <si>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</si>
  <si>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</si>
  <si>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</si>
  <si>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</si>
  <si>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</si>
  <si>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</si>
  <si>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</si>
  <si>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</si>
  <si>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</si>
  <si>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</si>
  <si>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</si>
  <si>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</si>
  <si>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</si>
  <si>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</si>
  <si>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</si>
  <si>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</si>
  <si>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</si>
  <si>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</si>
  <si>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</si>
  <si>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</si>
  <si>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</si>
  <si>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</si>
  <si>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</si>
  <si>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</si>
  <si>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</si>
  <si>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</si>
  <si>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</si>
  <si>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</si>
  <si>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</si>
  <si>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</si>
  <si>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</si>
  <si>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</si>
  <si>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</si>
  <si>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</si>
  <si>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</si>
  <si>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</si>
  <si>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</si>
  <si>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</si>
  <si>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</si>
  <si>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</si>
  <si>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</si>
  <si>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</si>
  <si>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</si>
  <si>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</si>
  <si>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</si>
  <si>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</si>
  <si>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</si>
  <si>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</si>
  <si>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</si>
  <si>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</si>
  <si>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</si>
  <si>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</si>
  <si>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</si>
  <si>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</si>
  <si>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</si>
  <si>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</si>
  <si>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</si>
  <si>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</si>
  <si>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</si>
  <si>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</si>
  <si>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</si>
  <si>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</si>
  <si>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</si>
  <si>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</si>
  <si>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</si>
  <si>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</si>
  <si>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</si>
  <si>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</si>
  <si>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</si>
  <si>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</si>
  <si>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</si>
  <si>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</si>
  <si>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</si>
  <si>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</si>
  <si>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</si>
  <si>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</si>
  <si>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</si>
  <si>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</si>
  <si>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</si>
  <si>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</si>
  <si>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</si>
  <si>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</si>
  <si>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</si>
  <si>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</si>
  <si>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</si>
  <si>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</si>
  <si>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</si>
  <si>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</si>
  <si>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</si>
  <si>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</si>
  <si>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</si>
  <si>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</si>
  <si>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</si>
  <si>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</si>
  <si>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</si>
  <si>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</si>
  <si>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</si>
  <si>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</si>
  <si>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</si>
  <si>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</si>
  <si>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</si>
  <si>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</si>
  <si>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</si>
  <si>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</si>
  <si>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</si>
  <si>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</si>
  <si>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</si>
  <si>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</si>
  <si>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</si>
  <si>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</si>
  <si>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</si>
  <si>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</si>
  <si>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</si>
  <si>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</si>
  <si>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</si>
  <si>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</si>
  <si>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</si>
  <si>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</si>
  <si>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</si>
  <si>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</si>
  <si>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</si>
  <si>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</si>
  <si>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</si>
  <si>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</si>
  <si>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</si>
  <si>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</si>
  <si>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</si>
  <si>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</si>
  <si>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</si>
  <si>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</si>
  <si>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</si>
  <si>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</si>
  <si>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</si>
  <si>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</si>
  <si>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</si>
  <si>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</si>
  <si>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</si>
  <si>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</si>
  <si>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</si>
  <si>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</si>
  <si>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</si>
  <si>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</si>
  <si>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</si>
  <si>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</si>
  <si>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</si>
  <si>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</si>
  <si>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</si>
  <si>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</si>
  <si>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</si>
  <si>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</si>
  <si>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</si>
  <si>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</si>
  <si>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</si>
  <si>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</si>
  <si>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</si>
  <si>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</si>
  <si>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</si>
  <si>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</si>
  <si>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</si>
  <si>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</si>
  <si>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</si>
  <si>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</si>
  <si>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</si>
  <si>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</si>
  <si>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</si>
  <si>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</si>
  <si>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</si>
  <si>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</si>
  <si>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</si>
  <si>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</si>
  <si>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</si>
  <si>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</si>
  <si>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</si>
  <si>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</si>
  <si>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</si>
  <si>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</si>
  <si>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</si>
  <si>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</si>
  <si>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</si>
  <si>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</si>
  <si>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</si>
  <si>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</si>
  <si>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</si>
  <si>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</si>
  <si>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</si>
  <si>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</si>
  <si>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</si>
  <si>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</si>
  <si>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</si>
  <si>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</si>
  <si>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</si>
  <si>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</si>
  <si>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</si>
  <si>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</si>
  <si>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</si>
  <si>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</si>
  <si>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</si>
  <si>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</si>
  <si>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</si>
  <si>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</si>
  <si>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</si>
  <si>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</si>
  <si>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</si>
  <si>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</si>
  <si>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</si>
  <si>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</si>
  <si>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</si>
  <si>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</si>
  <si>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</si>
  <si>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</si>
  <si>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</si>
  <si>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</si>
  <si>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</si>
  <si>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</si>
  <si>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</si>
  <si>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</si>
  <si>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</si>
  <si>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</si>
  <si>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</si>
  <si>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</si>
  <si>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</si>
  <si>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</si>
  <si>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</si>
  <si>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</si>
  <si>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</si>
  <si>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</si>
  <si>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</si>
  <si>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</si>
  <si>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</si>
  <si>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</si>
  <si>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</si>
  <si>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</si>
  <si>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</si>
  <si>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</si>
  <si>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</si>
  <si>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</si>
  <si>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</si>
  <si>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</si>
  <si>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</si>
  <si>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</si>
  <si>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</si>
  <si>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</si>
  <si>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</si>
  <si>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</si>
  <si>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</si>
  <si>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</si>
  <si>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</si>
  <si>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</si>
  <si>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</si>
  <si>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</si>
  <si>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</si>
  <si>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</si>
  <si>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</si>
  <si>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</si>
  <si>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</si>
  <si>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</si>
  <si>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</si>
  <si>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</si>
  <si>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</si>
  <si>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</si>
  <si>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</si>
  <si>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</si>
  <si>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</si>
  <si>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</si>
  <si>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</si>
  <si>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</si>
  <si>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</si>
  <si>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</si>
  <si>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</si>
  <si>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</si>
  <si>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</si>
  <si>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</si>
  <si>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</si>
  <si>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</si>
  <si>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</si>
  <si>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</si>
  <si>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</si>
  <si>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</si>
  <si>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</si>
  <si>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</si>
  <si>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</si>
  <si>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</si>
  <si>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</si>
  <si>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</si>
  <si>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</si>
  <si>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</si>
  <si>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</si>
  <si>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</si>
  <si>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</si>
  <si>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</si>
  <si>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</si>
  <si>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</si>
  <si>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</si>
  <si>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</si>
  <si>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</si>
  <si>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</si>
  <si>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</si>
  <si>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</si>
  <si>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</si>
  <si>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</si>
  <si>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</si>
  <si>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</si>
  <si>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</si>
  <si>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</si>
  <si>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</si>
  <si>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</si>
  <si>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</si>
  <si>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</si>
  <si>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</si>
  <si>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</si>
  <si>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</si>
  <si>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</si>
  <si>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</si>
  <si>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</si>
  <si>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</si>
  <si>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</si>
  <si>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</si>
  <si>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</si>
  <si>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</si>
  <si>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</si>
  <si>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</si>
  <si>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</si>
  <si>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</si>
  <si>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</si>
  <si>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</si>
  <si>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</si>
  <si>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</si>
  <si>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</si>
  <si>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</si>
  <si>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</si>
  <si>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</si>
  <si>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</si>
  <si>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</si>
  <si>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</si>
  <si>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</si>
  <si>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</si>
  <si>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</si>
  <si>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</si>
  <si>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</si>
  <si>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</si>
  <si>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</si>
  <si>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</si>
  <si>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</si>
  <si>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</si>
  <si>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</si>
  <si>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</si>
  <si>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</si>
  <si>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</si>
  <si>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</si>
  <si>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</si>
  <si>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</si>
  <si>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</si>
  <si>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</si>
  <si>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</si>
  <si>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</si>
  <si>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</si>
  <si>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</si>
  <si>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</si>
  <si>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</si>
  <si>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</si>
  <si>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</si>
  <si>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</si>
  <si>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</si>
  <si>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</si>
  <si>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</si>
  <si>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</si>
  <si>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</si>
  <si>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</si>
  <si>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</si>
  <si>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</si>
  <si>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</si>
  <si>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</si>
  <si>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</si>
  <si>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</si>
  <si>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</si>
  <si>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</si>
  <si>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</si>
  <si>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</si>
  <si>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</si>
  <si>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</si>
  <si>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</si>
  <si>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</si>
  <si>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</si>
  <si>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</si>
  <si>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</si>
  <si>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</si>
  <si>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</si>
  <si>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</si>
  <si>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</si>
  <si>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</si>
  <si>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</si>
  <si>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</si>
  <si>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</si>
  <si>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</si>
  <si>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</si>
  <si>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</si>
  <si>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</si>
  <si>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</si>
  <si>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</si>
  <si>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</si>
  <si>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</si>
  <si>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</si>
  <si>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</si>
  <si>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</si>
  <si>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</si>
  <si>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</si>
  <si>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</si>
  <si>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</si>
  <si>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</si>
  <si>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</si>
  <si>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</si>
  <si>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</si>
  <si>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</si>
  <si>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</si>
  <si>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</si>
  <si>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</si>
  <si>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</si>
  <si>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</si>
  <si>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</si>
  <si>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</si>
  <si>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</si>
  <si>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</si>
  <si>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</si>
  <si>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</si>
  <si>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</si>
  <si>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</si>
  <si>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</si>
  <si>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</si>
  <si>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</si>
  <si>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</si>
  <si>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</si>
  <si>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</si>
  <si>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</si>
  <si>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</si>
  <si>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</si>
  <si>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</si>
  <si>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</si>
  <si>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</si>
  <si>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</si>
  <si>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</si>
  <si>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</si>
  <si>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</si>
  <si>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</si>
  <si>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</si>
  <si>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</si>
  <si>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</si>
  <si>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</si>
  <si>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</si>
  <si>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</si>
  <si>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</si>
  <si>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</si>
  <si>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</si>
  <si>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</si>
  <si>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</si>
  <si>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</si>
  <si>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</si>
  <si>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</si>
  <si>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</si>
  <si>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</si>
  <si>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</si>
  <si>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</si>
  <si>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</si>
  <si>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</si>
  <si>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</si>
  <si>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</si>
  <si>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</si>
  <si>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</si>
  <si>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</si>
  <si>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</si>
  <si>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</si>
  <si>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</si>
  <si>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</si>
  <si>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</si>
  <si>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</si>
  <si>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</si>
  <si>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</si>
  <si>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</si>
  <si>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</si>
  <si>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</si>
  <si>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</si>
  <si>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</si>
  <si>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</si>
  <si>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</si>
  <si>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</si>
  <si>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</si>
  <si>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</si>
  <si>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</si>
  <si>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</si>
  <si>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</si>
  <si>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</si>
  <si>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</si>
  <si>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</si>
  <si>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</si>
  <si>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</si>
  <si>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</si>
  <si>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</si>
  <si>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</si>
  <si>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</si>
  <si>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</si>
  <si>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</si>
  <si>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</si>
  <si>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</si>
  <si>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</si>
  <si>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</si>
  <si>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</si>
  <si>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</si>
  <si>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</si>
  <si>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</si>
  <si>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</si>
  <si>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</si>
  <si>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</si>
  <si>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</si>
  <si>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</si>
  <si>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</si>
  <si>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</si>
  <si>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</si>
  <si>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</si>
  <si>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</si>
  <si>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</si>
  <si>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</si>
  <si>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</si>
  <si>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</si>
  <si>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</si>
  <si>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</si>
  <si>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</si>
  <si>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</si>
  <si>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</si>
  <si>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</si>
  <si>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</si>
  <si>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</si>
  <si>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</si>
  <si>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</si>
  <si>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</si>
  <si>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</si>
  <si>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</si>
  <si>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</si>
  <si>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</si>
  <si>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</si>
  <si>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</si>
  <si>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</si>
  <si>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</si>
  <si>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</si>
  <si>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</si>
  <si>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</si>
  <si>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</si>
  <si>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</si>
  <si>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</si>
  <si>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</si>
  <si>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</si>
  <si>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</si>
  <si>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</si>
  <si>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</si>
  <si>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</si>
  <si>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</si>
  <si>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</si>
  <si>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</si>
  <si>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</si>
  <si>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</si>
  <si>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</si>
  <si>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</si>
  <si>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</si>
  <si>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</si>
  <si>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</si>
  <si>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</si>
  <si>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</si>
  <si>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</si>
  <si>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</si>
  <si>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</si>
  <si>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</si>
  <si>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</si>
  <si>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</si>
  <si>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</si>
  <si>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</si>
  <si>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</si>
  <si>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</si>
  <si>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</si>
  <si>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</si>
  <si>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</si>
  <si>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</si>
  <si>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</si>
  <si>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</si>
  <si>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</si>
  <si>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</si>
  <si>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</si>
  <si>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</si>
  <si>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</si>
  <si>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</si>
  <si>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</si>
  <si>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</si>
  <si>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</si>
  <si>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</si>
  <si>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</si>
  <si>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</si>
  <si>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</si>
  <si>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</si>
  <si>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</si>
  <si>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</si>
  <si>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</si>
  <si>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</si>
  <si>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</si>
  <si>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</si>
  <si>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</si>
  <si>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</si>
  <si>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</si>
  <si>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</si>
  <si>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</si>
  <si>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</si>
  <si>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</si>
  <si>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</si>
  <si>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</si>
  <si>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</si>
  <si>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</si>
  <si>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</si>
  <si>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</si>
  <si>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</si>
  <si>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</si>
  <si>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</si>
  <si>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</si>
  <si>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</si>
  <si>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</si>
  <si>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</si>
  <si>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</si>
  <si>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</si>
  <si>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</si>
  <si>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</si>
  <si>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</si>
  <si>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</si>
  <si>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</si>
  <si>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</si>
  <si>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</si>
  <si>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</si>
  <si>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</si>
  <si>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</si>
  <si>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</si>
  <si>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</si>
  <si>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</si>
  <si>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</si>
  <si>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</si>
  <si>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</si>
  <si>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</si>
  <si>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</si>
  <si>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</si>
  <si>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</si>
  <si>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</si>
  <si>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</si>
  <si>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</si>
  <si>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</si>
  <si>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</si>
  <si>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</si>
  <si>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</si>
  <si>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</si>
  <si>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</si>
  <si>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</si>
  <si>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</si>
  <si>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</si>
  <si>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</si>
  <si>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</si>
  <si>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</si>
  <si>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</si>
  <si>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</si>
  <si>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</si>
  <si>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</si>
  <si>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</si>
  <si>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</si>
  <si>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</si>
  <si>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</si>
  <si>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</si>
  <si>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</si>
  <si>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</si>
  <si>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</si>
  <si>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</si>
  <si>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</si>
  <si>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</si>
  <si>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</si>
  <si>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</si>
  <si>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</si>
  <si>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</si>
  <si>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</si>
  <si>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</si>
  <si>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</si>
  <si>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</si>
  <si>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</si>
  <si>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</si>
  <si>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</si>
  <si>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</si>
  <si>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</si>
  <si>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</si>
  <si>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</si>
  <si>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</si>
  <si>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</si>
  <si>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</si>
  <si>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</si>
  <si>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</si>
  <si>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</si>
  <si>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</si>
  <si>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</si>
  <si>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</si>
  <si>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</si>
  <si>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</si>
  <si>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</si>
  <si>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</si>
  <si>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</si>
  <si>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</si>
  <si>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</si>
  <si>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</si>
  <si>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</si>
  <si>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</si>
  <si>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</si>
  <si>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</si>
  <si>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</si>
  <si>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</si>
  <si>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</si>
  <si>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</si>
  <si>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</si>
  <si>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</si>
  <si>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</si>
  <si>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</si>
  <si>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</si>
  <si>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</si>
  <si>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</si>
  <si>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</si>
  <si>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</si>
  <si>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</si>
  <si>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</si>
  <si>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</si>
  <si>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</si>
  <si>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</si>
  <si>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</si>
  <si>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</si>
  <si>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</si>
  <si>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</si>
  <si>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</si>
  <si>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</si>
  <si>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</si>
  <si>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</si>
  <si>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</si>
  <si>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</si>
  <si>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</si>
  <si>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</si>
  <si>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</si>
  <si>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</si>
  <si>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</si>
  <si>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</si>
  <si>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</si>
  <si>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</si>
  <si>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</si>
  <si>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</si>
  <si>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</si>
  <si>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</si>
  <si>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</si>
  <si>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</si>
  <si>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</si>
  <si>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</si>
  <si>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</si>
  <si>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</si>
  <si>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</si>
  <si>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</si>
  <si>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</si>
  <si>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</si>
  <si>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</si>
  <si>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</si>
  <si>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</si>
  <si>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</si>
  <si>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</si>
  <si>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</si>
  <si>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</si>
  <si>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</si>
  <si>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</si>
  <si>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</si>
  <si>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</si>
  <si>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</si>
  <si>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</si>
  <si>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</si>
  <si>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</si>
  <si>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</si>
  <si>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</si>
  <si>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</si>
  <si>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</si>
  <si>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</si>
  <si>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</si>
  <si>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</si>
  <si>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</si>
  <si>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</si>
  <si>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</si>
  <si>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</si>
  <si>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</si>
  <si>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</si>
  <si>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</si>
  <si>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</si>
  <si>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</si>
  <si>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</si>
  <si>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</si>
  <si>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</si>
  <si>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</si>
  <si>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</si>
  <si>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</si>
  <si>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</si>
  <si>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</si>
  <si>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</si>
  <si>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</si>
  <si>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</si>
  <si>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</si>
  <si>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</si>
  <si>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</si>
  <si>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</si>
  <si>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</si>
  <si>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</si>
  <si>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</si>
  <si>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</si>
  <si>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</si>
  <si>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</si>
  <si>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</si>
  <si>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</si>
  <si>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</si>
  <si>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</si>
  <si>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</si>
  <si>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</si>
  <si>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</si>
  <si>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</si>
  <si>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</si>
  <si>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</si>
  <si>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</si>
  <si>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</si>
  <si>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</si>
  <si>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</si>
  <si>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</si>
  <si>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</si>
  <si>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</si>
  <si>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</si>
  <si>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</si>
  <si>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</si>
  <si>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</si>
  <si>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</si>
  <si>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</si>
  <si>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</si>
  <si>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</si>
  <si>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</si>
  <si>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</si>
  <si>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</si>
  <si>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</si>
  <si>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</si>
  <si>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</si>
  <si>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</si>
  <si>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</si>
  <si>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</si>
  <si>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</si>
  <si>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</si>
  <si>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</si>
  <si>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</si>
  <si>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</si>
  <si>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</si>
  <si>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</si>
  <si>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</si>
  <si>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</si>
  <si>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</si>
  <si>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</si>
  <si>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</si>
  <si>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</si>
  <si>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</si>
  <si>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</si>
  <si>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</si>
  <si>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</si>
  <si>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</si>
  <si>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</si>
  <si>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</si>
  <si>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</si>
  <si>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</si>
  <si>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</si>
  <si>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</si>
  <si>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</si>
  <si>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</si>
  <si>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</si>
  <si>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</si>
  <si>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</si>
  <si>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</si>
  <si>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</si>
  <si>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</si>
  <si>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</si>
  <si>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</si>
  <si>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</si>
  <si>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</si>
  <si>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</si>
  <si>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</si>
  <si>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</si>
  <si>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</si>
  <si>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</si>
  <si>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</si>
  <si>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</si>
  <si>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</si>
  <si>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</si>
  <si>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</si>
  <si>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</si>
  <si>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</si>
  <si>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</si>
  <si>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</si>
  <si>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</si>
  <si>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</si>
  <si>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</si>
  <si>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</si>
  <si>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</si>
  <si>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</si>
  <si>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</si>
  <si>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</si>
  <si>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</si>
  <si>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</si>
  <si>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</si>
  <si>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</si>
  <si>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</si>
  <si>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</si>
  <si>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</si>
  <si>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</si>
  <si>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</si>
  <si>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</si>
  <si>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</si>
  <si>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</si>
  <si>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</si>
  <si>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</si>
  <si>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</si>
  <si>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</si>
  <si>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</si>
  <si>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</si>
  <si>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</si>
  <si>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</si>
  <si>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</si>
  <si>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</si>
  <si>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</si>
  <si>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</si>
  <si>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</si>
  <si>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</si>
  <si>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</si>
  <si>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</si>
  <si>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</si>
  <si>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</si>
  <si>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</si>
  <si>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</si>
  <si>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</si>
  <si>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</si>
  <si>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</si>
  <si>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</si>
  <si>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</si>
  <si>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</si>
  <si>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</si>
  <si>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</si>
  <si>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</si>
  <si>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</si>
  <si>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</si>
  <si>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</si>
  <si>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</si>
  <si>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</si>
  <si>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</si>
  <si>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</si>
  <si>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</si>
  <si>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</si>
  <si>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</si>
  <si>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</si>
  <si>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</si>
  <si>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</si>
  <si>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</si>
  <si>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</si>
  <si>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</si>
  <si>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</si>
  <si>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</si>
  <si>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</si>
  <si>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</si>
  <si>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</si>
  <si>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</si>
  <si>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</si>
  <si>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</si>
  <si>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</si>
  <si>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</si>
  <si>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</si>
  <si>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</si>
  <si>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</si>
  <si>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</si>
  <si>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</si>
  <si>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</si>
  <si>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</si>
  <si>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</si>
  <si>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</si>
  <si>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</si>
  <si>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</si>
  <si>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</si>
  <si>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</si>
  <si>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</si>
  <si>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</si>
  <si>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</si>
  <si>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</si>
  <si>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</si>
  <si>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</si>
  <si>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</si>
  <si>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</si>
  <si>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</si>
  <si>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</si>
  <si>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</si>
  <si>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</si>
  <si>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</si>
  <si>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</si>
  <si>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</si>
  <si>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</si>
  <si>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</si>
  <si>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</si>
  <si>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</si>
  <si>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</si>
  <si>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</si>
  <si>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</si>
  <si>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</si>
  <si>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</si>
  <si>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</si>
  <si>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</si>
  <si>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</si>
  <si>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</si>
  <si>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</si>
  <si>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</si>
  <si>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</si>
  <si>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</si>
  <si>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</si>
  <si>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</si>
  <si>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</si>
  <si>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</si>
  <si>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</si>
  <si>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</si>
  <si>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</si>
  <si>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</si>
  <si>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</si>
  <si>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</si>
  <si>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</si>
  <si>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</si>
  <si>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</si>
  <si>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</si>
  <si>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</si>
  <si>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</si>
  <si>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</si>
  <si>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</si>
  <si>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</si>
  <si>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</si>
  <si>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</si>
  <si>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</si>
  <si>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</si>
  <si>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</si>
  <si>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</si>
  <si>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</si>
  <si>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</si>
  <si>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</si>
  <si>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</si>
  <si>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</si>
  <si>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</si>
  <si>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</si>
  <si>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</si>
  <si>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</si>
  <si>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</si>
  <si>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</si>
  <si>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</si>
  <si>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</si>
  <si>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</si>
  <si>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</si>
  <si>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</si>
  <si>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</si>
  <si>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</si>
  <si>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</si>
  <si>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</si>
  <si>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</si>
  <si>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</si>
  <si>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</si>
  <si>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</si>
  <si>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</si>
  <si>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</si>
  <si>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</si>
  <si>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</si>
  <si>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</si>
  <si>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</si>
  <si>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</si>
  <si>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</si>
  <si>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</si>
  <si>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</si>
  <si>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</si>
  <si>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</si>
  <si>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</si>
  <si>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</si>
  <si>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</si>
  <si>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</si>
  <si>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</si>
  <si>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</si>
  <si>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</si>
  <si>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</si>
  <si>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</si>
  <si>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</si>
  <si>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</si>
  <si>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</si>
  <si>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</si>
  <si>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</si>
  <si>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</si>
  <si>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</si>
  <si>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</si>
  <si>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</si>
  <si>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</si>
  <si>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</si>
  <si>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</si>
  <si>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</si>
  <si>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</si>
  <si>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</si>
  <si>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</si>
  <si>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</si>
  <si>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</si>
  <si>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</si>
  <si>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</si>
  <si>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</si>
  <si>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</si>
  <si>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</si>
  <si>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</si>
  <si>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</si>
  <si>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</si>
  <si>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</si>
  <si>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</si>
  <si>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</si>
  <si>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</si>
  <si>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</si>
  <si>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</si>
  <si>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</si>
  <si>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</si>
  <si>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</si>
  <si>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</si>
  <si>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</si>
  <si>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</si>
  <si>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</si>
  <si>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</si>
  <si>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</si>
  <si>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</si>
  <si>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</si>
  <si>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</si>
  <si>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</si>
  <si>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</si>
  <si>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</si>
  <si>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</si>
  <si>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</si>
  <si>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</si>
  <si>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</si>
  <si>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</si>
  <si>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</si>
  <si>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</si>
  <si>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</si>
  <si>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</si>
  <si>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</si>
  <si>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</si>
  <si>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</si>
  <si>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</si>
  <si>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</si>
  <si>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</si>
  <si>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</si>
  <si>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</si>
  <si>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</si>
  <si>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</si>
  <si>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</si>
  <si>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</si>
  <si>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</si>
  <si>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</si>
  <si>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</si>
  <si>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</si>
  <si>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</si>
  <si>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</si>
  <si>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</si>
  <si>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</si>
  <si>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</si>
  <si>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</si>
  <si>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</si>
  <si>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</si>
  <si>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</si>
  <si>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</si>
  <si>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</si>
  <si>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</si>
  <si>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</si>
  <si>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</si>
  <si>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</si>
  <si>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</si>
  <si>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</si>
  <si>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</si>
  <si>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</si>
  <si>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</si>
  <si>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</si>
  <si>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</si>
  <si>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</si>
  <si>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</si>
  <si>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</si>
  <si>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</si>
  <si>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</si>
  <si>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</si>
  <si>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</si>
  <si>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</si>
  <si>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</si>
  <si>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</si>
  <si>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</si>
  <si>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</si>
  <si>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</si>
  <si>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</si>
  <si>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</si>
  <si>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</si>
  <si>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</si>
  <si>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</si>
  <si>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</si>
  <si>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</si>
  <si>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</si>
  <si>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</si>
  <si>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</si>
  <si>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</si>
  <si>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</si>
  <si>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</si>
  <si>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</si>
  <si>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</si>
  <si>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</si>
  <si>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</si>
  <si>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</si>
  <si>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</si>
  <si>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</si>
  <si>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</si>
  <si>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</si>
  <si>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</si>
  <si>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</si>
  <si>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</si>
  <si>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</si>
  <si>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</si>
  <si>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</si>
  <si>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</si>
  <si>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</si>
  <si>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</si>
  <si>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</si>
  <si>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</si>
  <si>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</si>
  <si>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</si>
  <si>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</si>
  <si>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</si>
  <si>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</si>
  <si>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</si>
  <si>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</si>
  <si>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</si>
  <si>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</si>
  <si>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</si>
  <si>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</si>
  <si>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</si>
  <si>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</si>
  <si>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</si>
  <si>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</si>
  <si>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</si>
  <si>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</si>
  <si>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</si>
  <si>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</si>
  <si>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</si>
  <si>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</si>
  <si>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</si>
  <si>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</si>
  <si>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</si>
  <si>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</si>
  <si>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</si>
  <si>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</si>
  <si>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</si>
  <si>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</si>
  <si>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</si>
  <si>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</si>
  <si>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</si>
  <si>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</si>
  <si>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</si>
  <si>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</si>
  <si>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</si>
  <si>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</si>
  <si>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</si>
  <si>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</si>
  <si>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</si>
  <si>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</si>
  <si>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</si>
  <si>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</si>
  <si>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</si>
  <si>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</si>
  <si>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</si>
  <si>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</si>
  <si>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</si>
  <si>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</si>
  <si>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</si>
  <si>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</si>
  <si>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</si>
  <si>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</si>
  <si>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</si>
  <si>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</si>
  <si>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</si>
  <si>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</si>
  <si>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</si>
  <si>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</si>
  <si>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</si>
  <si>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</si>
  <si>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</si>
  <si>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</si>
  <si>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</si>
  <si>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</si>
  <si>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</si>
  <si>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</si>
  <si>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</si>
  <si>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</si>
  <si>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</si>
  <si>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</si>
  <si>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</si>
  <si>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</si>
  <si>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</si>
  <si>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</si>
  <si>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</si>
  <si>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</si>
  <si>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</si>
  <si>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</si>
  <si>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</si>
  <si>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</si>
  <si>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</si>
  <si>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</si>
  <si>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</si>
  <si>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</si>
  <si>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</si>
  <si>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</si>
  <si>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</si>
  <si>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</si>
  <si>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</si>
  <si>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</si>
  <si>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</si>
  <si>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</si>
  <si>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</si>
  <si>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</si>
  <si>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</si>
  <si>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</si>
  <si>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</si>
  <si>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</si>
  <si>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</si>
  <si>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</si>
  <si>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</si>
  <si>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</si>
  <si>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</si>
  <si>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</si>
  <si>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</si>
  <si>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</si>
  <si>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</si>
  <si>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</si>
  <si>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</si>
  <si>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</si>
  <si>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</si>
  <si>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</si>
  <si>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</si>
  <si>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</si>
  <si>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</si>
  <si>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</si>
  <si>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</si>
  <si>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</si>
  <si>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</si>
  <si>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</si>
  <si>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</si>
  <si>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</si>
  <si>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</si>
  <si>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</si>
  <si>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</si>
  <si>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</si>
  <si>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</si>
  <si>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</si>
  <si>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</si>
  <si>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</si>
  <si>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</si>
  <si>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</si>
  <si>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</si>
  <si>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</si>
  <si>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</si>
  <si>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</si>
  <si>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</si>
  <si>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</si>
  <si>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</si>
  <si>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</si>
  <si>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</si>
  <si>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</si>
  <si>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</si>
  <si>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</si>
  <si>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</si>
  <si>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</si>
  <si>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</si>
  <si>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</si>
  <si>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</si>
  <si>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</si>
  <si>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</si>
  <si>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</si>
  <si>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</si>
  <si>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</si>
  <si>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</si>
  <si>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</si>
  <si>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</si>
  <si>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</si>
  <si>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</si>
  <si>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</si>
  <si>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</si>
  <si>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</si>
  <si>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</si>
  <si>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</si>
  <si>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</si>
  <si>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</si>
  <si>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</si>
  <si>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</si>
  <si>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</si>
  <si>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</si>
  <si>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</si>
  <si>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</si>
  <si>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</si>
  <si>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</si>
  <si>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</si>
  <si>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</si>
  <si>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</si>
  <si>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</si>
  <si>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</si>
  <si>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</si>
  <si>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</si>
  <si>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</si>
  <si>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</si>
  <si>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</si>
  <si>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</si>
  <si>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</si>
  <si>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</si>
  <si>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</si>
  <si>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</si>
  <si>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</si>
  <si>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</si>
  <si>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</si>
  <si>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</si>
  <si>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</si>
  <si>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</si>
  <si>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</si>
  <si>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</si>
  <si>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</si>
  <si>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</si>
  <si>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</si>
  <si>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</si>
  <si>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</si>
  <si>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</si>
  <si>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</si>
  <si>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</si>
  <si>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</si>
  <si>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</si>
  <si>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</si>
  <si>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</si>
  <si>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</si>
  <si>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</si>
  <si>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</si>
  <si>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</si>
  <si>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</si>
  <si>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</si>
  <si>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</si>
  <si>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</si>
  <si>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</si>
  <si>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</si>
  <si>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</si>
  <si>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</si>
  <si>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</si>
  <si>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</si>
  <si>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</si>
  <si>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</si>
  <si>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</si>
  <si>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</si>
  <si>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</si>
  <si>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</si>
  <si>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</si>
  <si>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</si>
  <si>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</si>
  <si>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</si>
  <si>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</si>
  <si>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</si>
  <si>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</si>
  <si>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</si>
  <si>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</si>
  <si>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</si>
  <si>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</si>
  <si>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</si>
  <si>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</si>
  <si>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</si>
  <si>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</si>
  <si>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</si>
  <si>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</si>
  <si>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</si>
  <si>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</si>
  <si>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</si>
  <si>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</si>
  <si>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</si>
  <si>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</si>
  <si>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</si>
  <si>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</si>
  <si>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</si>
  <si>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</si>
  <si>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</si>
  <si>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</si>
  <si>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</si>
  <si>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</si>
  <si>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</si>
  <si>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</si>
  <si>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</si>
  <si>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</si>
  <si>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</si>
  <si>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</si>
  <si>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</si>
  <si>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</si>
  <si>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</si>
  <si>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</si>
  <si>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</si>
  <si>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</si>
  <si>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</si>
  <si>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</si>
  <si>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</si>
  <si>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</si>
  <si>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</si>
  <si>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</si>
  <si>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</si>
  <si>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</si>
  <si>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</si>
  <si>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</si>
  <si>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</si>
  <si>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</si>
  <si>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</si>
  <si>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</si>
  <si>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</si>
  <si>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</si>
  <si>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</si>
  <si>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</si>
  <si>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</si>
  <si>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</si>
  <si>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</si>
  <si>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</si>
  <si>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</si>
  <si>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</si>
  <si>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</si>
  <si>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</si>
  <si>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</si>
  <si>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</si>
  <si>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</si>
  <si>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</si>
  <si>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</si>
  <si>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</si>
  <si>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</si>
  <si>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</si>
  <si>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</si>
  <si>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</si>
  <si>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</si>
  <si>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</si>
  <si>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</si>
  <si>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</si>
  <si>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</si>
  <si>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</si>
  <si>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</si>
  <si>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</si>
  <si>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</si>
  <si>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</si>
  <si>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</si>
  <si>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</si>
  <si>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</si>
  <si>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</si>
  <si>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</si>
  <si>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</si>
  <si>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</si>
  <si>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</si>
  <si>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</si>
  <si>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</si>
  <si>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</si>
  <si>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</si>
  <si>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</si>
  <si>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</si>
  <si>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</si>
  <si>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</si>
  <si>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</si>
  <si>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</si>
  <si>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</si>
  <si>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</si>
  <si>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</si>
  <si>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</si>
  <si>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</si>
  <si>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</si>
  <si>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</si>
  <si>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</si>
  <si>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</si>
  <si>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</si>
  <si>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</si>
  <si>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</si>
  <si>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</si>
  <si>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</si>
  <si>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</si>
  <si>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</si>
  <si>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</si>
  <si>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</si>
  <si>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</si>
  <si>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</si>
  <si>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</si>
  <si>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</si>
  <si>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</si>
  <si>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</si>
  <si>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</si>
  <si>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</si>
  <si>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</si>
  <si>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</si>
  <si>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</si>
  <si>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</si>
  <si>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</si>
  <si>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</si>
  <si>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</si>
  <si>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</si>
  <si>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</si>
  <si>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</si>
  <si>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</si>
  <si>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</si>
  <si>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</si>
  <si>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</si>
  <si>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</si>
  <si>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</si>
  <si>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</si>
  <si>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</si>
  <si>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</si>
  <si>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</si>
  <si>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</si>
  <si>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</si>
  <si>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</si>
  <si>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</si>
  <si>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</si>
  <si>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</si>
  <si>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</si>
  <si>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</si>
  <si>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</si>
  <si>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</si>
  <si>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</si>
  <si>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</si>
  <si>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</si>
  <si>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</si>
  <si>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</si>
  <si>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</si>
  <si>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</si>
  <si>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</si>
  <si>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</si>
  <si>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</si>
  <si>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</si>
  <si>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</si>
  <si>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</si>
  <si>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</si>
  <si>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</si>
  <si>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</si>
  <si>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</si>
  <si>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</si>
  <si>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</si>
  <si>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</si>
  <si>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</si>
  <si>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</si>
  <si>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</si>
  <si>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</si>
  <si>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</si>
  <si>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</si>
  <si>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</si>
  <si>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</si>
  <si>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</si>
  <si>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</si>
  <si>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</si>
  <si>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</si>
  <si>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</si>
  <si>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</si>
  <si>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</si>
  <si>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</si>
  <si>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</si>
  <si>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</si>
  <si>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</si>
  <si>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</si>
  <si>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</si>
  <si>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</si>
  <si>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</si>
  <si>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</si>
  <si>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</si>
  <si>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</si>
  <si>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</si>
  <si>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</si>
  <si>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</si>
  <si>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</si>
  <si>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</si>
  <si>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</si>
  <si>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</si>
  <si>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</si>
  <si>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</si>
  <si>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</si>
  <si>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</si>
  <si>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</si>
  <si>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</si>
  <si>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</si>
  <si>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</si>
  <si>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</si>
  <si>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</si>
  <si>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</si>
  <si>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</si>
  <si>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</si>
  <si>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</si>
  <si>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</si>
  <si>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</si>
  <si>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</si>
  <si>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</si>
  <si>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</si>
  <si>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</si>
  <si>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</si>
  <si>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</si>
  <si>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</si>
  <si>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</si>
  <si>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</si>
  <si>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</si>
  <si>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</si>
  <si>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</si>
  <si>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</si>
  <si>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</si>
  <si>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</si>
  <si>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</si>
  <si>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</si>
  <si>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</si>
  <si>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</si>
  <si>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</si>
  <si>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</si>
  <si>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</si>
  <si>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</si>
  <si>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</si>
  <si>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</si>
  <si>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</si>
  <si>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</si>
  <si>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</si>
  <si>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</si>
  <si>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</si>
  <si>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</si>
  <si>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</si>
  <si>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</si>
  <si>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</si>
  <si>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</si>
  <si>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</si>
  <si>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</si>
  <si>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</si>
  <si>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</si>
  <si>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</si>
  <si>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</si>
  <si>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</si>
  <si>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</si>
  <si>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</si>
  <si>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</si>
  <si>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</si>
  <si>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</si>
  <si>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</si>
  <si>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</si>
  <si>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</si>
  <si>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</si>
  <si>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</si>
  <si>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</si>
  <si>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</si>
  <si>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</si>
  <si>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</si>
  <si>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</si>
  <si>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</si>
  <si>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</si>
  <si>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</si>
  <si>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</si>
  <si>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</si>
  <si>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</si>
  <si>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</si>
  <si>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</si>
  <si>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</si>
  <si>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</si>
  <si>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</si>
  <si>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</si>
  <si>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</si>
  <si>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</si>
  <si>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</si>
  <si>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</si>
  <si>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</si>
  <si>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</si>
  <si>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</si>
  <si>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</si>
  <si>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</si>
  <si>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</si>
  <si>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</si>
  <si>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</si>
  <si>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</si>
  <si>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</si>
  <si>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</si>
  <si>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</si>
  <si>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</si>
  <si>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</si>
  <si>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</si>
  <si>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</si>
  <si>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</si>
  <si>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</si>
  <si>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</si>
  <si>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</si>
  <si>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</si>
  <si>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</si>
  <si>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</si>
  <si>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</si>
  <si>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</si>
  <si>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</si>
  <si>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</si>
  <si>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</si>
  <si>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</si>
  <si>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</si>
  <si>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</si>
  <si>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</si>
  <si>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</si>
  <si>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</si>
  <si>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</si>
  <si>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</si>
  <si>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</si>
  <si>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</si>
  <si>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</si>
  <si>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</si>
  <si>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</si>
  <si>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</si>
  <si>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</si>
  <si>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</si>
  <si>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</si>
  <si>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</si>
  <si>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</si>
  <si>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</si>
  <si>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</si>
  <si>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</si>
  <si>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</si>
  <si>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</si>
  <si>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</si>
  <si>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</si>
  <si>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</si>
  <si>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</si>
  <si>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</si>
  <si>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</si>
  <si>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</si>
  <si>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</si>
  <si>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</si>
  <si>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</si>
  <si>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</si>
  <si>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</si>
  <si>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</si>
  <si>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</si>
  <si>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</si>
  <si>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</si>
  <si>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</si>
  <si>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</si>
  <si>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</si>
  <si>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</si>
  <si>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</si>
  <si>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</si>
  <si>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</si>
  <si>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</si>
  <si>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</si>
  <si>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</si>
  <si>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</si>
  <si>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</si>
  <si>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</si>
  <si>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</si>
  <si>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</si>
  <si>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</si>
  <si>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</si>
  <si>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</si>
  <si>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</si>
  <si>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</si>
  <si>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</si>
  <si>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</si>
  <si>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</si>
  <si>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</si>
  <si>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</si>
  <si>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</si>
  <si>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</si>
  <si>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</si>
  <si>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</si>
  <si>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</si>
  <si>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</si>
  <si>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</si>
  <si>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</si>
  <si>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</si>
  <si>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</si>
  <si>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</si>
  <si>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</si>
  <si>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</si>
  <si>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</si>
  <si>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</si>
  <si>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</si>
  <si>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</si>
  <si>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</si>
  <si>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</si>
  <si>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</si>
  <si>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</si>
  <si>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</si>
  <si>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</si>
  <si>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</si>
  <si>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</si>
  <si>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</si>
  <si>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</si>
  <si>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</si>
  <si>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</si>
  <si>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</si>
  <si>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</si>
  <si>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</si>
  <si>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</si>
  <si>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</si>
  <si>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</si>
  <si>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</si>
  <si>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</si>
  <si>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</si>
  <si>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</si>
  <si>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</si>
  <si>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</si>
  <si>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</si>
  <si>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</si>
  <si>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</si>
  <si>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</si>
  <si>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</si>
  <si>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</si>
  <si>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</si>
  <si>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</si>
  <si>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</si>
  <si>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</si>
  <si>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</si>
  <si>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</si>
  <si>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</si>
  <si>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</si>
  <si>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</si>
  <si>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</si>
  <si>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</si>
  <si>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</si>
  <si>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</si>
  <si>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</si>
  <si>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</si>
  <si>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</si>
  <si>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</si>
  <si>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</si>
  <si>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</si>
  <si>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</si>
  <si>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</si>
  <si>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</si>
  <si>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</si>
  <si>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</si>
  <si>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</si>
  <si>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</si>
  <si>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</si>
  <si>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</si>
  <si>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</si>
  <si>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</si>
  <si>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</si>
  <si>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</si>
  <si>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</si>
  <si>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</si>
  <si>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</si>
  <si>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</si>
  <si>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</si>
  <si>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</si>
  <si>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</si>
  <si>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</si>
  <si>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</si>
  <si>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</si>
  <si>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</si>
  <si>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</si>
  <si>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</si>
  <si>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</si>
  <si>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</si>
  <si>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</si>
  <si>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</si>
  <si>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</si>
  <si>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</si>
  <si>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</si>
  <si>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</si>
  <si>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</si>
  <si>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</si>
  <si>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</si>
  <si>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</si>
  <si>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</si>
  <si>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</si>
  <si>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</si>
  <si>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</si>
  <si>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</si>
  <si>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</si>
  <si>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</si>
  <si>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</si>
  <si>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</si>
  <si>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</si>
  <si>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</si>
  <si>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</si>
  <si>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</si>
  <si>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</si>
  <si>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</si>
  <si>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</si>
  <si>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</si>
  <si>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</si>
  <si>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</si>
  <si>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</si>
  <si>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</si>
  <si>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</si>
  <si>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</si>
  <si>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</si>
  <si>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</si>
  <si>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</si>
  <si>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</si>
  <si>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</si>
  <si>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</si>
  <si>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</si>
  <si>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</si>
  <si>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</si>
  <si>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</si>
  <si>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</si>
  <si>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</si>
  <si>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</si>
  <si>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</si>
  <si>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</si>
  <si>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</si>
  <si>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</si>
  <si>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</si>
  <si>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</si>
  <si>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</si>
  <si>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</si>
  <si>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</si>
  <si>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</si>
  <si>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</si>
  <si>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</si>
  <si>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</si>
  <si>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</si>
  <si>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</si>
  <si>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</si>
  <si>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</si>
  <si>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</si>
  <si>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</si>
  <si>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</si>
  <si>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</si>
  <si>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</si>
  <si>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</si>
  <si>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</si>
  <si>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</si>
  <si>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</si>
  <si>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</si>
  <si>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</si>
  <si>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</si>
  <si>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</si>
  <si>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</si>
  <si>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</si>
  <si>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</si>
  <si>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</si>
  <si>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</si>
  <si>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</si>
  <si>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</si>
  <si>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</si>
  <si>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</si>
  <si>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</si>
  <si>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</si>
  <si>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</si>
  <si>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</si>
  <si>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</si>
  <si>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</si>
  <si>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</si>
  <si>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</si>
  <si>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</si>
  <si>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</si>
  <si>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</si>
  <si>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</si>
  <si>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</si>
  <si>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</si>
  <si>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</si>
  <si>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</si>
  <si>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</si>
  <si>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</si>
  <si>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</si>
  <si>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</si>
  <si>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</si>
  <si>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</si>
  <si>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</si>
  <si>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</si>
  <si>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</si>
  <si>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</si>
  <si>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</si>
  <si>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</si>
  <si>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</si>
  <si>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</si>
  <si>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</si>
  <si>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</si>
  <si>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</si>
  <si>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</si>
  <si>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</si>
  <si>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</si>
  <si>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</si>
  <si>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</si>
  <si>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</si>
  <si>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</si>
  <si>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</si>
  <si>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</si>
  <si>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</si>
  <si>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</si>
  <si>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</si>
  <si>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</si>
  <si>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</si>
  <si>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</si>
  <si>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</si>
  <si>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</si>
  <si>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</si>
  <si>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</si>
  <si>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</si>
  <si>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</si>
  <si>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</si>
  <si>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</si>
  <si>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</si>
  <si>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</si>
  <si>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</si>
  <si>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</si>
  <si>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</si>
  <si>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</si>
  <si>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</si>
  <si>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</si>
  <si>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</si>
  <si>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</si>
  <si>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</si>
  <si>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</si>
  <si>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</si>
  <si>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</si>
  <si>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</si>
  <si>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</si>
  <si>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</si>
  <si>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</si>
  <si>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</si>
  <si>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</si>
  <si>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</si>
  <si>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</si>
  <si>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</si>
  <si>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</si>
  <si>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</si>
  <si>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</si>
  <si>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</si>
  <si>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</si>
  <si>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</si>
  <si>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</si>
  <si>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</si>
  <si>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</si>
  <si>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</si>
  <si>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</si>
  <si>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</si>
  <si>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</si>
  <si>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</si>
  <si>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</si>
  <si>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</si>
  <si>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</si>
  <si>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</si>
  <si>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</si>
  <si>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</si>
  <si>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</si>
  <si>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</si>
  <si>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</si>
  <si>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</si>
  <si>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</si>
  <si>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</si>
  <si>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</si>
  <si>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</si>
  <si>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</si>
  <si>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</si>
  <si>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</si>
  <si>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</si>
  <si>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</si>
  <si>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</si>
  <si>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</si>
  <si>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</si>
  <si>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</si>
  <si>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</si>
  <si>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</si>
  <si>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</si>
  <si>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</si>
  <si>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</si>
  <si>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</si>
  <si>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</si>
  <si>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</si>
  <si>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</si>
  <si>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</si>
  <si>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</si>
  <si>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</si>
  <si>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</si>
  <si>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</si>
  <si>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</si>
  <si>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</si>
  <si>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</si>
  <si>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</si>
  <si>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</si>
  <si>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</si>
  <si>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</si>
  <si>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</si>
  <si>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</si>
  <si>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</si>
  <si>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</si>
  <si>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</si>
  <si>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</si>
  <si>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</si>
  <si>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</si>
  <si>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</si>
  <si>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</si>
  <si>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</si>
  <si>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</si>
  <si>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</si>
  <si>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</si>
  <si>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</si>
  <si>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</si>
  <si>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</si>
  <si>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</si>
  <si>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</si>
  <si>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</si>
  <si>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</si>
  <si>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</si>
  <si>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</si>
  <si>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</si>
  <si>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</si>
  <si>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</si>
  <si>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</si>
  <si>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</si>
  <si>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</si>
  <si>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</si>
  <si>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</si>
  <si>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</si>
  <si>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</si>
  <si>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</si>
  <si>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</si>
  <si>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</si>
  <si>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</si>
  <si>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</si>
  <si>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</si>
  <si>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</si>
  <si>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</si>
  <si>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</si>
  <si>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</si>
  <si>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</si>
  <si>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</si>
  <si>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</si>
  <si>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</si>
  <si>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</si>
  <si>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</si>
  <si>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</si>
  <si>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</si>
  <si>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</si>
  <si>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</si>
  <si>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</si>
  <si>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</si>
  <si>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</si>
  <si>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</si>
  <si>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</si>
  <si>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</si>
  <si>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</si>
  <si>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</si>
  <si>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</si>
  <si>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</si>
  <si>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</si>
  <si>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</si>
  <si>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</si>
  <si>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</si>
  <si>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</si>
  <si>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</si>
  <si>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</si>
  <si>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</si>
  <si>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</si>
  <si>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</si>
  <si>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</si>
  <si>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</si>
  <si>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</si>
  <si>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</si>
  <si>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</si>
  <si>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</si>
  <si>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</si>
  <si>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</si>
  <si>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</si>
  <si>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</si>
  <si>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</si>
  <si>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</si>
  <si>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</si>
  <si>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</si>
  <si>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</si>
  <si>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</si>
  <si>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</si>
  <si>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</si>
  <si>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</si>
  <si>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</si>
  <si>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</si>
  <si>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</si>
  <si>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</si>
  <si>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</si>
  <si>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</si>
  <si>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</si>
  <si>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</si>
  <si>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</si>
  <si>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</si>
  <si>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</si>
  <si>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</si>
  <si>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</si>
  <si>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</si>
  <si>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</si>
  <si>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</si>
  <si>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</si>
  <si>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</si>
  <si>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</si>
  <si>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</si>
  <si>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</si>
  <si>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</si>
  <si>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</si>
  <si>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</si>
  <si>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</si>
  <si>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</si>
  <si>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</si>
  <si>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</si>
  <si>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</si>
  <si>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</si>
  <si>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</si>
  <si>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</si>
  <si>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</si>
  <si>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</si>
  <si>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</si>
  <si>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</si>
  <si>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</si>
  <si>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</si>
  <si>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</si>
  <si>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</si>
  <si>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</si>
  <si>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</si>
  <si>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</si>
  <si>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</si>
  <si>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</si>
  <si>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</si>
  <si>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</si>
  <si>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</si>
  <si>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</si>
  <si>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</si>
  <si>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</si>
  <si>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</si>
  <si>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</si>
  <si>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</si>
  <si>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</si>
  <si>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</si>
  <si>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</si>
  <si>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</si>
  <si>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</si>
  <si>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</si>
  <si>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</si>
  <si>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</si>
  <si>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</si>
  <si>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</si>
  <si>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</si>
  <si>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</si>
  <si>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</si>
  <si>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</si>
  <si>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</si>
  <si>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</si>
  <si>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</si>
  <si>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</si>
  <si>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</si>
  <si>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</si>
  <si>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</si>
  <si>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</si>
  <si>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</si>
  <si>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</si>
  <si>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</si>
  <si>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</si>
  <si>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</si>
  <si>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</si>
  <si>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</si>
  <si>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</si>
  <si>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</si>
  <si>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</si>
  <si>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</si>
  <si>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</si>
  <si>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</si>
  <si>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</si>
  <si>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</si>
  <si>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</si>
  <si>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</si>
  <si>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</si>
  <si>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</si>
  <si>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</si>
  <si>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</si>
  <si>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</si>
  <si>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</si>
  <si>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</si>
  <si>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</si>
  <si>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</si>
  <si>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</si>
  <si>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</si>
  <si>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</si>
  <si>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</si>
  <si>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</si>
  <si>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</si>
  <si>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</si>
  <si>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</si>
  <si>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</si>
  <si>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</si>
  <si>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</si>
  <si>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</si>
  <si>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</si>
  <si>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</si>
  <si>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</si>
  <si>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</si>
  <si>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</si>
  <si>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</si>
  <si>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</si>
  <si>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</si>
  <si>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</si>
  <si>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</si>
  <si>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</si>
  <si>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</si>
  <si>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</si>
  <si>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</si>
  <si>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</si>
  <si>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</si>
  <si>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</si>
  <si>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</si>
  <si>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</si>
  <si>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</si>
  <si>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</si>
  <si>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</si>
  <si>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</si>
  <si>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</si>
  <si>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</si>
  <si>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</si>
  <si>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</si>
  <si>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</si>
  <si>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</si>
  <si>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</si>
  <si>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</si>
  <si>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</si>
  <si>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</si>
  <si>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</si>
  <si>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</si>
  <si>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</si>
  <si>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</si>
  <si>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</si>
  <si>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</si>
  <si>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</si>
  <si>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</si>
  <si>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</si>
  <si>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</si>
  <si>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</si>
  <si>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</si>
  <si>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</si>
  <si>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</si>
  <si>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</si>
  <si>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</si>
  <si>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</si>
  <si>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</si>
  <si>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</si>
  <si>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</si>
  <si>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</si>
  <si>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</si>
  <si>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</si>
  <si>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</si>
  <si>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</si>
  <si>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</si>
  <si>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</si>
  <si>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</si>
  <si>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</si>
  <si>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</si>
  <si>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</si>
  <si>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</si>
  <si>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</si>
  <si>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</si>
  <si>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</si>
  <si>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</si>
  <si>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</si>
  <si>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</si>
  <si>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</si>
  <si>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</si>
  <si>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</si>
  <si>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</si>
  <si>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</si>
  <si>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</si>
  <si>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</si>
  <si>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</si>
  <si>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</si>
  <si>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</si>
  <si>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</si>
  <si>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</si>
  <si>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</si>
  <si>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</si>
  <si>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</si>
  <si>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</si>
  <si>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</si>
  <si>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</si>
  <si>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</si>
  <si>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</si>
  <si>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</si>
  <si>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</si>
  <si>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</si>
  <si>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</si>
  <si>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</si>
  <si>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</si>
  <si>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</si>
  <si>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</si>
  <si>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</si>
  <si>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</si>
  <si>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</si>
  <si>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</si>
  <si>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</si>
  <si>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</si>
  <si>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</si>
  <si>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</si>
  <si>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</si>
  <si>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</si>
  <si>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</si>
  <si>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</si>
  <si>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</si>
  <si>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</si>
  <si>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</si>
  <si>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</si>
  <si>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</si>
  <si>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</si>
  <si>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</si>
  <si>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</si>
  <si>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</si>
  <si>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</si>
  <si>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</si>
  <si>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</si>
  <si>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</si>
  <si>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</si>
  <si>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</si>
  <si>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</si>
  <si>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</si>
  <si>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</si>
  <si>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</si>
  <si>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</si>
  <si>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</si>
  <si>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</si>
  <si>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</si>
  <si>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</si>
  <si>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</si>
  <si>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</si>
  <si>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</si>
  <si>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</si>
  <si>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</si>
  <si>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</si>
  <si>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</si>
  <si>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</si>
  <si>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</si>
  <si>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</si>
  <si>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</si>
  <si>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</si>
  <si>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</si>
  <si>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</si>
  <si>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</si>
  <si>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</si>
  <si>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</si>
  <si>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</si>
  <si>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</si>
  <si>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</si>
  <si>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</si>
  <si>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</si>
  <si>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</si>
  <si>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</si>
  <si>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</si>
  <si>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</si>
  <si>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</si>
  <si>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</si>
  <si>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</si>
  <si>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</si>
  <si>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</si>
  <si>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</si>
  <si>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</si>
  <si>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</si>
  <si>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</si>
  <si>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</si>
  <si>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</si>
  <si>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</si>
  <si>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</si>
  <si>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</si>
  <si>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</si>
  <si>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</si>
  <si>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</si>
  <si>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</si>
  <si>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</si>
  <si>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</si>
  <si>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</si>
  <si>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</si>
  <si>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</si>
  <si>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</si>
  <si>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</si>
  <si>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</si>
  <si>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</si>
  <si>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</si>
  <si>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</si>
  <si>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</si>
  <si>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</si>
  <si>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</si>
  <si>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</si>
  <si>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</si>
  <si>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</si>
  <si>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</si>
  <si>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</si>
  <si>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</si>
  <si>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</si>
  <si>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</si>
  <si>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</si>
  <si>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</si>
  <si>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</si>
  <si>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</si>
  <si>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</si>
  <si>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</si>
  <si>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</si>
  <si>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</si>
  <si>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</si>
  <si>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</si>
  <si>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</si>
  <si>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</si>
  <si>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</si>
  <si>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</si>
  <si>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</si>
  <si>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</si>
  <si>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</si>
  <si>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</si>
  <si>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</si>
  <si>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</si>
  <si>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</si>
  <si>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</si>
  <si>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</si>
  <si>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</si>
  <si>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</si>
  <si>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</si>
  <si>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</si>
  <si>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</si>
  <si>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</si>
  <si>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</si>
  <si>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</si>
  <si>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</si>
  <si>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</si>
  <si>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</si>
  <si>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</si>
  <si>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</si>
  <si>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</si>
  <si>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</si>
  <si>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</si>
  <si>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</si>
  <si>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</si>
  <si>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</si>
  <si>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</si>
  <si>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</si>
  <si>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</si>
  <si>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</si>
  <si>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</si>
  <si>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</si>
  <si>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</si>
  <si>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</si>
  <si>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</si>
  <si>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</si>
  <si>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</si>
  <si>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</si>
  <si>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</si>
  <si>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</si>
  <si>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</si>
  <si>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</si>
  <si>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</si>
  <si>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</si>
  <si>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</si>
  <si>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</si>
  <si>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</si>
  <si>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</si>
  <si>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</si>
  <si>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</si>
  <si>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</si>
  <si>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</si>
  <si>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</si>
  <si>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</si>
  <si>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</si>
  <si>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</si>
  <si>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</si>
  <si>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</si>
  <si>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</si>
  <si>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</si>
  <si>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</si>
  <si>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</si>
  <si>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</si>
  <si>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</si>
  <si>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</si>
  <si>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</si>
  <si>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</si>
  <si>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</si>
  <si>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</si>
  <si>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</si>
  <si>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</si>
  <si>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</si>
  <si>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</si>
  <si>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</si>
  <si>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</si>
  <si>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</si>
  <si>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</si>
  <si>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</si>
  <si>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</si>
  <si>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</si>
  <si>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</si>
  <si>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</si>
  <si>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</si>
  <si>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</si>
  <si>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</si>
  <si>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</si>
  <si>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</si>
  <si>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</si>
  <si>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</si>
  <si>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</si>
  <si>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</si>
  <si>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</si>
  <si>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</si>
  <si>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</si>
  <si>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</si>
  <si>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</si>
  <si>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</si>
  <si>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</si>
  <si>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</si>
  <si>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</si>
  <si>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</si>
  <si>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</si>
  <si>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</si>
  <si>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</si>
  <si>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</si>
  <si>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</si>
  <si>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</si>
  <si>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</si>
  <si>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</si>
  <si>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</si>
  <si>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</si>
  <si>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</si>
  <si>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</si>
  <si>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</si>
  <si>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</si>
  <si>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</si>
  <si>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</si>
  <si>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</si>
  <si>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</si>
  <si>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</si>
  <si>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</si>
  <si>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</si>
  <si>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</si>
  <si>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</si>
  <si>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</si>
  <si>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</si>
  <si>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</si>
  <si>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</si>
  <si>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</si>
  <si>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</si>
  <si>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</si>
  <si>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</si>
  <si>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</si>
  <si>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</si>
  <si>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</si>
  <si>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</si>
  <si>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</si>
  <si>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</si>
  <si>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</si>
  <si>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</si>
  <si>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</si>
  <si>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</si>
  <si>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</si>
  <si>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</si>
  <si>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</si>
  <si>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</si>
  <si>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</si>
  <si>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</si>
  <si>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</si>
  <si>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</si>
  <si>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</si>
  <si>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</si>
  <si>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</si>
  <si>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</si>
  <si>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</si>
  <si>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</si>
  <si>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</si>
  <si>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</si>
  <si>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</si>
  <si>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</si>
  <si>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</si>
  <si>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</si>
  <si>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</si>
  <si>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</si>
  <si>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</si>
  <si>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</si>
  <si>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</si>
  <si>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</si>
  <si>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</si>
  <si>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</si>
  <si>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</si>
  <si>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</si>
  <si>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</si>
  <si>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</si>
  <si>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</si>
  <si>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</si>
  <si>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</si>
  <si>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</si>
  <si>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</si>
  <si>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</si>
  <si>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</si>
  <si>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</si>
  <si>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</si>
  <si>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</si>
  <si>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</si>
  <si>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</si>
  <si>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</si>
  <si>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</si>
  <si>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</si>
  <si>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</si>
  <si>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</si>
  <si>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</si>
  <si>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</si>
  <si>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</si>
  <si>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</si>
  <si>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</si>
  <si>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</si>
  <si>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</si>
  <si>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</si>
  <si>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</si>
  <si>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</si>
  <si>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</si>
  <si>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</si>
  <si>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</si>
  <si>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</si>
  <si>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</si>
  <si>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</si>
  <si>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</si>
  <si>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</si>
  <si>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</si>
  <si>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</si>
  <si>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</si>
  <si>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</si>
  <si>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</si>
  <si>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</si>
  <si>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</si>
  <si>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</si>
  <si>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</si>
  <si>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</si>
  <si>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</si>
  <si>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</si>
  <si>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</si>
  <si>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</si>
  <si>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</si>
  <si>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</si>
  <si>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</si>
  <si>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</si>
  <si>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</si>
  <si>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</si>
  <si>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</si>
  <si>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</si>
  <si>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</si>
  <si>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</si>
  <si>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</si>
  <si>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</si>
  <si>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</si>
  <si>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</si>
  <si>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</si>
  <si>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</si>
  <si>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</si>
  <si>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</si>
  <si>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</si>
  <si>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</si>
  <si>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</si>
  <si>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</si>
  <si>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</si>
  <si>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</si>
  <si>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</si>
  <si>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</si>
  <si>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</si>
  <si>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</si>
  <si>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</si>
  <si>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</si>
  <si>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</si>
  <si>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</si>
  <si>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</si>
  <si>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</si>
  <si>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</si>
  <si>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</si>
  <si>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</si>
  <si>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</si>
  <si>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</si>
  <si>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</si>
  <si>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</si>
  <si>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</si>
  <si>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</si>
  <si>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</si>
  <si>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</si>
  <si>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</si>
  <si>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</si>
  <si>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</si>
  <si>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</si>
  <si>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</si>
  <si>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</si>
  <si>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</si>
  <si>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</si>
  <si>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</si>
  <si>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</si>
  <si>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</si>
  <si>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</si>
  <si>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</si>
  <si>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</si>
  <si>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</si>
  <si>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</si>
  <si>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</si>
  <si>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</si>
  <si>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</si>
  <si>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</si>
  <si>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</si>
  <si>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</si>
  <si>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</si>
  <si>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</si>
  <si>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</si>
  <si>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</si>
  <si>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</si>
  <si>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</si>
  <si>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</si>
  <si>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</si>
  <si>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</si>
  <si>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</si>
  <si>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</si>
  <si>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</si>
  <si>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</si>
  <si>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</si>
  <si>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</si>
  <si>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</si>
  <si>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</si>
  <si>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</si>
  <si>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</si>
  <si>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</si>
  <si>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</si>
  <si>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</si>
  <si>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</si>
  <si>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</si>
  <si>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</si>
  <si>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</si>
  <si>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</si>
  <si>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</si>
  <si>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</si>
  <si>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</si>
  <si>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</si>
  <si>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</si>
  <si>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</si>
  <si>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</si>
  <si>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</si>
  <si>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</si>
  <si>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</si>
  <si>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</si>
  <si>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</si>
  <si>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</si>
  <si>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</si>
  <si>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</si>
  <si>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</si>
  <si>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</si>
  <si>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</si>
  <si>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</si>
  <si>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</si>
  <si>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</si>
  <si>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</si>
  <si>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</si>
  <si>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</si>
  <si>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</si>
  <si>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</si>
  <si>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</si>
  <si>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</si>
  <si>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</si>
  <si>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</si>
  <si>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</si>
  <si>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</si>
  <si>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</si>
  <si>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</si>
  <si>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</si>
  <si>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</si>
  <si>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</si>
  <si>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</si>
  <si>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</si>
  <si>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</si>
  <si>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</si>
  <si>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</si>
  <si>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</si>
  <si>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</si>
  <si>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</si>
  <si>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</si>
  <si>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</si>
  <si>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</si>
  <si>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</si>
  <si>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</si>
  <si>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</si>
  <si>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</si>
  <si>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</si>
  <si>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</si>
  <si>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</si>
  <si>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</si>
  <si>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</si>
  <si>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</si>
  <si>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</si>
  <si>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</si>
  <si>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</si>
  <si>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</si>
  <si>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</si>
  <si>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</si>
  <si>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</si>
  <si>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</si>
  <si>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</si>
  <si>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</si>
  <si>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</si>
  <si>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</si>
  <si>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</si>
  <si>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</si>
  <si>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</si>
  <si>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</si>
  <si>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</si>
  <si>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</si>
  <si>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</si>
  <si>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</si>
  <si>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</si>
  <si>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</si>
  <si>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</si>
  <si>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</si>
  <si>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</si>
  <si>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</si>
  <si>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</si>
  <si>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</si>
  <si>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</si>
  <si>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</si>
  <si>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</si>
  <si>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</si>
  <si>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</si>
  <si>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</si>
  <si>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</si>
  <si>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</si>
  <si>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</si>
  <si>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</si>
  <si>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</si>
  <si>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</si>
  <si>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</si>
  <si>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</si>
  <si>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</si>
  <si>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</si>
  <si>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</si>
  <si>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</si>
  <si>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</si>
  <si>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</si>
  <si>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</si>
  <si>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</si>
  <si>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</si>
  <si>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</si>
  <si>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</si>
  <si>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</si>
  <si>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</si>
  <si>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</si>
  <si>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</si>
  <si>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</si>
  <si>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</si>
  <si>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</si>
  <si>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</si>
  <si>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</si>
  <si>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</si>
  <si>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</si>
  <si>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</si>
  <si>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</si>
  <si>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</si>
  <si>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</si>
  <si>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</si>
  <si>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</si>
  <si>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</si>
  <si>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</si>
  <si>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</si>
  <si>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</si>
  <si>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</si>
  <si>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</si>
  <si>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</si>
  <si>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</si>
  <si>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</si>
  <si>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</si>
  <si>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</si>
  <si>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</si>
  <si>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</si>
  <si>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</si>
  <si>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</si>
  <si>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</si>
  <si>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</si>
  <si>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</si>
  <si>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</si>
  <si>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</si>
  <si>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</si>
  <si>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</si>
  <si>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</si>
  <si>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</si>
  <si>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</si>
  <si>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</si>
  <si>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</si>
  <si>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</si>
  <si>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</si>
  <si>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</si>
  <si>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</si>
  <si>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</si>
  <si>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</si>
  <si>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</si>
  <si>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</si>
  <si>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</si>
  <si>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</si>
  <si>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</si>
  <si>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</si>
  <si>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</si>
  <si>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</si>
  <si>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</si>
  <si>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</si>
  <si>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</si>
  <si>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</si>
  <si>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</si>
  <si>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</si>
  <si>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</si>
  <si>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</si>
  <si>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</si>
  <si>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</si>
  <si>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</si>
  <si>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</si>
  <si>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</si>
  <si>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</si>
  <si>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</si>
  <si>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</si>
  <si>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</si>
  <si>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</si>
  <si>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</si>
  <si>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</si>
  <si>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</si>
  <si>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</si>
  <si>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</si>
  <si>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</si>
  <si>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</si>
  <si>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</si>
  <si>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</si>
  <si>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</si>
  <si>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</si>
  <si>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</si>
  <si>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</si>
  <si>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</si>
  <si>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</si>
  <si>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</si>
  <si>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</si>
  <si>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</si>
  <si>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</si>
  <si>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</si>
  <si>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</si>
  <si>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</si>
  <si>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</si>
  <si>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</si>
  <si>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</si>
  <si>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</si>
  <si>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</si>
  <si>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</si>
  <si>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</si>
  <si>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</si>
  <si>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</si>
  <si>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</si>
  <si>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</si>
  <si>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</si>
  <si>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</si>
  <si>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</si>
  <si>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</si>
  <si>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</si>
  <si>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</si>
  <si>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</si>
  <si>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</si>
  <si>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</si>
  <si>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</si>
  <si>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</si>
  <si>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</si>
  <si>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</si>
  <si>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</si>
  <si>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</si>
  <si>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</si>
  <si>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</si>
  <si>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</si>
  <si>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</si>
  <si>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</si>
  <si>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</si>
  <si>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</si>
  <si>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</si>
  <si>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</si>
  <si>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</si>
  <si>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</si>
  <si>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</si>
  <si>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</si>
  <si>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</si>
  <si>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</si>
  <si>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</si>
  <si>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</si>
  <si>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</si>
  <si>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</si>
  <si>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</si>
  <si>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</si>
  <si>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</si>
  <si>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</si>
  <si>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</si>
  <si>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</si>
  <si>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</si>
  <si>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</si>
  <si>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</si>
  <si>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</si>
  <si>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</si>
  <si>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</si>
  <si>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</si>
  <si>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</si>
  <si>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</si>
  <si>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</si>
  <si>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</si>
  <si>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</si>
  <si>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</si>
  <si>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</si>
  <si>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</si>
  <si>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</si>
  <si>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</si>
  <si>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</si>
  <si>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</si>
  <si>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</si>
  <si>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</si>
  <si>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</si>
  <si>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</si>
  <si>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</si>
  <si>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</si>
  <si>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</si>
  <si>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</si>
  <si>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</si>
  <si>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</si>
  <si>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</si>
  <si>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</si>
  <si>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</si>
  <si>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</si>
  <si>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</si>
  <si>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</si>
  <si>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</si>
  <si>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</si>
  <si>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</si>
  <si>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</si>
  <si>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</si>
  <si>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</si>
  <si>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</si>
  <si>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</si>
  <si>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</si>
  <si>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</si>
  <si>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</si>
  <si>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</si>
  <si>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</si>
  <si>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</si>
  <si>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</si>
  <si>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</si>
  <si>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</si>
  <si>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</si>
  <si>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</si>
  <si>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</si>
  <si>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</si>
  <si>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</si>
  <si>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</si>
  <si>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</si>
  <si>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</si>
  <si>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</si>
  <si>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</si>
  <si>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</si>
  <si>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</si>
  <si>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</si>
  <si>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</si>
  <si>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</si>
  <si>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</si>
  <si>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</si>
  <si>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</si>
  <si>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</si>
  <si>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</si>
  <si>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</si>
  <si>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</si>
  <si>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</si>
  <si>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</si>
  <si>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</si>
  <si>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</si>
  <si>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</si>
  <si>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</si>
  <si>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</si>
  <si>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</si>
  <si>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</si>
  <si>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</si>
  <si>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</si>
  <si>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</si>
  <si>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</si>
  <si>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</si>
  <si>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</si>
  <si>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</si>
  <si>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</si>
  <si>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</si>
  <si>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</si>
  <si>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</si>
  <si>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</si>
  <si>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</si>
  <si>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</si>
  <si>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</si>
  <si>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</si>
  <si>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</si>
  <si>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</si>
  <si>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</si>
  <si>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</si>
  <si>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</si>
  <si>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</si>
  <si>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</si>
  <si>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</si>
  <si>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</si>
  <si>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</si>
  <si>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</si>
  <si>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</si>
  <si>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</si>
  <si>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</si>
  <si>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</si>
  <si>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</si>
  <si>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</si>
  <si>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</si>
  <si>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</si>
  <si>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</si>
  <si>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</si>
  <si>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</si>
  <si>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</si>
  <si>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</si>
  <si>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</si>
  <si>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</si>
  <si>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</si>
  <si>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</si>
  <si>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</si>
  <si>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</si>
  <si>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</si>
  <si>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</si>
  <si>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</si>
  <si>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</si>
  <si>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</si>
  <si>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</si>
  <si>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</si>
  <si>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</si>
  <si>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</si>
  <si>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</si>
  <si>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</si>
  <si>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</si>
  <si>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</si>
  <si>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</si>
  <si>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</si>
  <si>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</si>
  <si>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</si>
  <si>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</si>
  <si>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</si>
  <si>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</si>
  <si>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</si>
  <si>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</si>
  <si>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</si>
  <si>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</si>
  <si>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</si>
  <si>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</si>
  <si>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</si>
  <si>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</si>
  <si>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</si>
  <si>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</si>
  <si>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</si>
  <si>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</si>
  <si>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</si>
  <si>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</si>
  <si>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</si>
  <si>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</si>
  <si>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</si>
  <si>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</si>
  <si>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</si>
  <si>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</si>
  <si>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</si>
  <si>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</si>
  <si>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</si>
  <si>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</si>
  <si>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</si>
  <si>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</si>
  <si>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</si>
  <si>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</si>
  <si>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</si>
  <si>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</si>
  <si>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</si>
  <si>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</si>
  <si>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</si>
  <si>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</si>
  <si>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</si>
  <si>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</si>
  <si>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</si>
  <si>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</si>
  <si>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</si>
  <si>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</si>
  <si>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</si>
  <si>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</si>
  <si>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</si>
  <si>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</si>
  <si>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</si>
  <si>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</si>
  <si>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</si>
  <si>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</si>
  <si>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</si>
  <si>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</si>
  <si>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</si>
  <si>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</si>
  <si>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</si>
  <si>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</si>
  <si>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</si>
  <si>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</si>
  <si>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</si>
  <si>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</si>
  <si>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</si>
  <si>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</si>
  <si>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</si>
  <si>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</si>
  <si>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</si>
  <si>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</si>
  <si>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</si>
  <si>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</si>
  <si>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</si>
  <si>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</si>
  <si>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</si>
  <si>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</si>
  <si>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</si>
  <si>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</si>
  <si>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</si>
  <si>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</si>
  <si>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</si>
  <si>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</si>
  <si>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</si>
  <si>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</si>
  <si>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</si>
  <si>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</si>
  <si>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</si>
  <si>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</si>
  <si>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</si>
  <si>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</si>
  <si>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</si>
  <si>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</si>
  <si>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</si>
  <si>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</si>
  <si>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</si>
  <si>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</si>
  <si>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</si>
  <si>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</si>
  <si>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</si>
  <si>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</si>
  <si>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</si>
  <si>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</si>
  <si>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</si>
  <si>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</si>
  <si>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</si>
  <si>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</si>
  <si>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</si>
  <si>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</si>
  <si>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</si>
  <si>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</si>
  <si>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</si>
  <si>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</si>
  <si>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</si>
  <si>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</si>
  <si>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</si>
  <si>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</si>
  <si>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</si>
  <si>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</si>
  <si>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</si>
  <si>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</si>
  <si>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</si>
  <si>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</si>
  <si>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</si>
  <si>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</si>
  <si>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</si>
  <si>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</si>
  <si>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</si>
  <si>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</si>
  <si>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</si>
  <si>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</si>
  <si>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</si>
  <si>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</si>
  <si>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</si>
  <si>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</si>
  <si>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</si>
  <si>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</si>
  <si>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</si>
  <si>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</si>
  <si>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</si>
  <si>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</si>
  <si>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</si>
  <si>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</si>
  <si>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</si>
  <si>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</si>
  <si>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</si>
  <si>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</si>
  <si>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</si>
  <si>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</si>
  <si>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</si>
  <si>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</si>
  <si>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</si>
  <si>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</si>
  <si>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</si>
  <si>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</si>
  <si>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</si>
  <si>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</si>
  <si>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</si>
  <si>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</si>
  <si>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</si>
  <si>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</si>
  <si>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</si>
  <si>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</si>
  <si>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</si>
  <si>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</si>
  <si>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</si>
  <si>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</si>
  <si>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</si>
  <si>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</si>
  <si>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</si>
  <si>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</si>
  <si>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</si>
  <si>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</si>
  <si>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</si>
  <si>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</si>
  <si>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</si>
  <si>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</si>
  <si>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</si>
  <si>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</si>
  <si>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</si>
  <si>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</si>
  <si>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</si>
  <si>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</si>
  <si>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</si>
  <si>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</si>
  <si>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</si>
  <si>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</si>
  <si>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</si>
  <si>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</si>
  <si>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</si>
  <si>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</si>
  <si>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</si>
  <si>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</si>
  <si>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</si>
  <si>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</si>
  <si>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</si>
  <si>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</si>
  <si>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</si>
  <si>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</si>
  <si>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</si>
  <si>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</si>
  <si>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</si>
  <si>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</si>
  <si>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</si>
  <si>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</si>
  <si>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</si>
  <si>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</si>
  <si>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</si>
  <si>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</si>
  <si>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</si>
  <si>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</si>
  <si>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</si>
  <si>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</si>
  <si>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</si>
  <si>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</si>
  <si>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</si>
  <si>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</si>
  <si>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</si>
  <si>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</si>
  <si>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</si>
  <si>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</si>
  <si>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</si>
  <si>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</si>
  <si>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</si>
  <si>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</si>
  <si>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</si>
  <si>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</si>
  <si>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</si>
  <si>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</si>
  <si>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</si>
  <si>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</si>
  <si>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</si>
  <si>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</si>
  <si>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</si>
  <si>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</si>
  <si>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</si>
  <si>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</si>
  <si>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</si>
  <si>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</si>
  <si>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</si>
  <si>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</si>
  <si>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</si>
  <si>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</si>
  <si>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</si>
  <si>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</si>
  <si>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</si>
  <si>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</si>
  <si>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</si>
  <si>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</si>
  <si>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</si>
  <si>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</si>
  <si>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</si>
  <si>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</si>
  <si>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</si>
  <si>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</si>
  <si>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</si>
  <si>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</si>
  <si>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</si>
  <si>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</si>
  <si>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</si>
  <si>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</si>
  <si>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</si>
  <si>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</si>
  <si>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</si>
  <si>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</si>
  <si>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</si>
  <si>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</si>
  <si>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</si>
  <si>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</si>
  <si>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</si>
  <si>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</si>
  <si>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</si>
  <si>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</si>
  <si>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</si>
  <si>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</si>
  <si>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</si>
  <si>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</si>
  <si>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</si>
  <si>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</si>
  <si>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</si>
  <si>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</si>
  <si>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</si>
  <si>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</si>
  <si>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</si>
  <si>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</si>
  <si>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</si>
  <si>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</si>
  <si>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</si>
  <si>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</si>
  <si>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</si>
  <si>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</si>
  <si>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</si>
  <si>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</si>
  <si>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</si>
  <si>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</si>
  <si>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</si>
  <si>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</si>
  <si>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</si>
  <si>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</si>
  <si>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</si>
  <si>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</si>
  <si>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</si>
  <si>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</si>
  <si>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</si>
  <si>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</si>
  <si>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</si>
  <si>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</si>
  <si>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</si>
  <si>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</si>
  <si>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</si>
  <si>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</si>
  <si>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</si>
  <si>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</si>
  <si>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</si>
  <si>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</si>
  <si>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</si>
  <si>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</si>
  <si>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</si>
  <si>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</si>
  <si>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</si>
  <si>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</si>
  <si>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</si>
  <si>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</si>
  <si>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</si>
  <si>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</si>
  <si>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</si>
  <si>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</si>
  <si>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</si>
  <si>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</si>
  <si>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</si>
  <si>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</si>
  <si>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</si>
  <si>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</si>
  <si>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</si>
  <si>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</si>
  <si>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</si>
  <si>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</si>
  <si>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</si>
  <si>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</si>
  <si>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</si>
  <si>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</si>
  <si>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</si>
  <si>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</si>
  <si>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</si>
  <si>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</si>
  <si>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</si>
  <si>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</si>
  <si>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</si>
  <si>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</si>
  <si>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</si>
  <si>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</si>
  <si>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</si>
  <si>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</si>
  <si>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</si>
  <si>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</si>
  <si>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</si>
  <si>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</si>
  <si>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</si>
  <si>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</si>
  <si>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</si>
  <si>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</si>
  <si>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</si>
  <si>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</si>
  <si>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</si>
  <si>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</si>
  <si>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</si>
  <si>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</si>
  <si>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</si>
  <si>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</si>
  <si>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</si>
  <si>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</si>
  <si>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</si>
  <si>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</si>
  <si>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</si>
  <si>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</si>
  <si>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</si>
  <si>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</si>
  <si>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</si>
  <si>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</si>
  <si>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</si>
  <si>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</si>
  <si>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</si>
  <si>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</si>
  <si>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</si>
  <si>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</si>
  <si>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</si>
  <si>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</si>
  <si>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</si>
  <si>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</si>
  <si>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</si>
  <si>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</si>
  <si>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</si>
  <si>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</si>
  <si>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</si>
  <si>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</si>
  <si>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</si>
  <si>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</si>
  <si>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</si>
  <si>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</si>
  <si>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</si>
  <si>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</si>
  <si>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</si>
  <si>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</si>
  <si>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</si>
  <si>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</si>
  <si>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</si>
  <si>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</si>
  <si>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</si>
  <si>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</si>
  <si>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</si>
  <si>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</si>
  <si>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</si>
  <si>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</si>
  <si>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</si>
  <si>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</si>
  <si>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</si>
  <si>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</si>
  <si>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</si>
  <si>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</si>
  <si>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</si>
  <si>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</si>
  <si>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</si>
  <si>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</si>
  <si>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</si>
  <si>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</si>
  <si>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</si>
  <si>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</si>
  <si>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</si>
  <si>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</si>
  <si>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</si>
  <si>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</si>
  <si>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</si>
  <si>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</si>
  <si>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</si>
  <si>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</si>
  <si>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</si>
  <si>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</si>
  <si>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</si>
  <si>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</si>
  <si>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</si>
  <si>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</si>
  <si>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</si>
  <si>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</si>
  <si>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</si>
  <si>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</si>
  <si>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</si>
  <si>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</si>
  <si>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</si>
  <si>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</si>
  <si>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</si>
  <si>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</si>
  <si>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</si>
  <si>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</si>
  <si>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</si>
  <si>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</si>
  <si>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</si>
  <si>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</si>
  <si>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</si>
  <si>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</si>
  <si>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</si>
  <si>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</si>
  <si>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</si>
  <si>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</si>
  <si>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</si>
  <si>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</si>
  <si>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</si>
  <si>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</si>
  <si>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</si>
  <si>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</si>
  <si>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</si>
  <si>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</si>
  <si>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</si>
  <si>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</si>
  <si>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</si>
  <si>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</si>
  <si>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</si>
  <si>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</si>
  <si>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</si>
  <si>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</si>
  <si>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</si>
  <si>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</si>
  <si>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</si>
  <si>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</si>
  <si>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</si>
  <si>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</si>
  <si>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</si>
  <si>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</si>
  <si>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</si>
  <si>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</si>
  <si>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</si>
  <si>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</si>
  <si>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</si>
  <si>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</si>
  <si>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</si>
  <si>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</si>
  <si>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</si>
  <si>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</si>
  <si>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</si>
  <si>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</si>
  <si>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</si>
  <si>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</si>
  <si>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</si>
  <si>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</si>
  <si>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</si>
  <si>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</si>
  <si>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</si>
  <si>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</si>
  <si>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</si>
  <si>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</si>
  <si>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</si>
  <si>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</si>
  <si>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</si>
  <si>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</si>
  <si>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</si>
  <si>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</si>
  <si>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</si>
  <si>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</si>
  <si>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</si>
  <si>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</si>
  <si>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</si>
  <si>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</si>
  <si>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</si>
  <si>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</si>
  <si>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</si>
  <si>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</si>
  <si>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</si>
  <si>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</si>
  <si>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</si>
  <si>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</si>
  <si>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</si>
  <si>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</si>
  <si>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</si>
  <si>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</si>
  <si>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</si>
  <si>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</si>
  <si>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</si>
  <si>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</si>
  <si>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</si>
  <si>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</si>
  <si>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</si>
  <si>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</si>
  <si>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</si>
  <si>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</si>
  <si>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</si>
  <si>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</si>
  <si>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</si>
  <si>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</si>
  <si>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</si>
  <si>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</si>
  <si>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</si>
  <si>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</si>
  <si>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</si>
  <si>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</si>
  <si>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</si>
  <si>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</si>
  <si>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</si>
  <si>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</si>
  <si>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</si>
  <si>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</si>
  <si>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</si>
  <si>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</si>
  <si>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</si>
  <si>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</si>
  <si>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</si>
  <si>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</si>
  <si>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</si>
  <si>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</si>
  <si>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</si>
  <si>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</si>
  <si>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</si>
  <si>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</si>
  <si>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</si>
  <si>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</si>
  <si>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</si>
  <si>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</si>
  <si>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</si>
  <si>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</si>
  <si>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</si>
  <si>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</si>
  <si>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</si>
  <si>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</si>
  <si>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</si>
  <si>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</si>
  <si>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</si>
  <si>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</si>
  <si>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</si>
  <si>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</si>
  <si>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</si>
  <si>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</si>
  <si>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</si>
  <si>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</si>
  <si>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</si>
  <si>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</si>
  <si>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</si>
  <si>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</si>
  <si>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</si>
  <si>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</si>
  <si>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</si>
  <si>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</si>
  <si>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</si>
  <si>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</si>
  <si>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</si>
  <si>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</si>
  <si>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</si>
  <si>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</si>
  <si>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</si>
  <si>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</si>
  <si>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</si>
  <si>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</si>
  <si>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</si>
  <si>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</si>
  <si>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</si>
  <si>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</si>
  <si>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</si>
  <si>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</si>
  <si>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</si>
  <si>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</si>
  <si>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</si>
  <si>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</si>
  <si>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</si>
  <si>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</si>
  <si>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</si>
  <si>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</si>
  <si>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</si>
  <si>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</si>
  <si>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</si>
  <si>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</si>
  <si>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</si>
  <si>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</si>
  <si>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</si>
  <si>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</si>
  <si>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</si>
  <si>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</si>
  <si>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</si>
  <si>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</si>
  <si>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</si>
  <si>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</si>
  <si>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</si>
  <si>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</si>
  <si>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</si>
  <si>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</si>
  <si>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</si>
  <si>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</si>
  <si>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</si>
  <si>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</si>
  <si>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</si>
  <si>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</si>
  <si>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</si>
  <si>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</si>
  <si>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</si>
  <si>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</si>
  <si>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</si>
  <si>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</si>
  <si>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</si>
  <si>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</si>
  <si>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</si>
  <si>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</si>
  <si>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</si>
  <si>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</si>
  <si>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</si>
  <si>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</si>
  <si>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</si>
  <si>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</si>
  <si>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</si>
  <si>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</si>
  <si>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</si>
  <si>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</si>
  <si>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</si>
  <si>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</si>
  <si>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</si>
  <si>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</si>
  <si>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</si>
  <si>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</si>
  <si>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</si>
  <si>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</si>
  <si>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</si>
  <si>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</si>
  <si>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</si>
  <si>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</si>
  <si>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</si>
  <si>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</si>
  <si>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</si>
  <si>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</si>
  <si>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</si>
  <si>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</si>
  <si>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</si>
  <si>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</si>
  <si>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</si>
  <si>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</si>
  <si>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</si>
  <si>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</si>
  <si>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</si>
  <si>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</si>
  <si>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</si>
  <si>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</si>
  <si>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</si>
  <si>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</si>
  <si>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</si>
  <si>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</si>
  <si>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</si>
  <si>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</si>
  <si>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</si>
  <si>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</si>
  <si>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</si>
  <si>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</si>
  <si>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</si>
  <si>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</si>
  <si>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</si>
  <si>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</si>
  <si>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</si>
  <si>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</si>
  <si>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</si>
  <si>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</si>
  <si>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</si>
  <si>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</si>
  <si>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</si>
  <si>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</si>
  <si>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</si>
  <si>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</si>
  <si>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</si>
  <si>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</si>
  <si>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</si>
  <si>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</si>
  <si>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</si>
  <si>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</si>
  <si>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</si>
  <si>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</si>
  <si>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</si>
  <si>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</si>
  <si>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</si>
  <si>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</si>
  <si>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</si>
  <si>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</si>
  <si>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</si>
  <si>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</si>
  <si>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</si>
  <si>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</si>
  <si>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</si>
  <si>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</si>
  <si>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</si>
  <si>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</si>
  <si>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</si>
  <si>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</si>
  <si>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</si>
  <si>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</si>
  <si>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</si>
  <si>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</si>
  <si>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</si>
  <si>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</si>
  <si>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</si>
  <si>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</si>
  <si>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</si>
  <si>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</si>
  <si>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</si>
  <si>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</si>
  <si>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</si>
  <si>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</si>
  <si>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</si>
  <si>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</si>
  <si>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</si>
  <si>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</si>
  <si>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</si>
  <si>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</si>
  <si>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</si>
  <si>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</si>
  <si>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</si>
  <si>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</si>
  <si>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</si>
  <si>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</si>
  <si>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</si>
  <si>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</si>
  <si>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</si>
  <si>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</si>
  <si>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</si>
  <si>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</si>
  <si>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</si>
  <si>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</si>
  <si>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</si>
  <si>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</si>
  <si>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</si>
  <si>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</si>
  <si>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</si>
  <si>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</si>
  <si>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</si>
  <si>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</si>
  <si>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</si>
  <si>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</si>
  <si>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</si>
  <si>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</si>
  <si>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</si>
  <si>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</si>
  <si>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</si>
  <si>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</si>
  <si>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</si>
  <si>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</si>
  <si>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</si>
  <si>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</si>
  <si>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</si>
  <si>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</si>
  <si>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</si>
  <si>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</si>
  <si>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</si>
  <si>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</si>
  <si>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</si>
  <si>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</si>
  <si>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</si>
  <si>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</si>
  <si>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</si>
  <si>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</si>
  <si>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</si>
  <si>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</si>
  <si>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</si>
  <si>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</si>
  <si>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</si>
  <si>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</si>
  <si>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</si>
  <si>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</si>
  <si>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</si>
  <si>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</si>
  <si>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</si>
  <si>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</si>
  <si>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</si>
  <si>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</si>
  <si>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</si>
  <si>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</si>
  <si>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</si>
  <si>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</si>
  <si>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</si>
  <si>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</si>
  <si>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</si>
  <si>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</si>
  <si>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</si>
  <si>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</si>
  <si>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</si>
  <si>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</si>
  <si>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</si>
  <si>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</si>
  <si>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</si>
  <si>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</si>
  <si>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</si>
  <si>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</si>
  <si>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</si>
  <si>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</si>
  <si>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</si>
  <si>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</si>
  <si>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</si>
  <si>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</si>
  <si>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</si>
  <si>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</si>
  <si>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</si>
  <si>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</si>
  <si>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</si>
  <si>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</si>
  <si>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</si>
  <si>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</si>
  <si>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</si>
  <si>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</si>
  <si>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</si>
  <si>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</si>
  <si>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</si>
  <si>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</si>
  <si>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</si>
  <si>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</si>
  <si>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</si>
  <si>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</si>
  <si>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</si>
  <si>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</si>
  <si>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</si>
  <si>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</si>
  <si>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</si>
  <si>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</si>
  <si>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</si>
  <si>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</si>
  <si>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</si>
  <si>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</si>
  <si>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</si>
  <si>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</si>
  <si>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</si>
  <si>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</si>
  <si>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</si>
  <si>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</si>
  <si>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</si>
  <si>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</si>
  <si>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</si>
  <si>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</si>
  <si>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</si>
  <si>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</si>
  <si>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</si>
  <si>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</si>
  <si>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</si>
  <si>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</si>
  <si>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</si>
  <si>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</si>
  <si>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</si>
  <si>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</si>
  <si>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</si>
  <si>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</si>
  <si>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</si>
  <si>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</si>
  <si>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</si>
  <si>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</si>
  <si>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</si>
  <si>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</si>
  <si>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</si>
  <si>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</si>
  <si>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</si>
  <si>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</si>
  <si>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</si>
  <si>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</si>
  <si>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</si>
  <si>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</si>
  <si>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</si>
  <si>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</si>
  <si>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</si>
  <si>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</si>
  <si>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</si>
  <si>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</si>
  <si>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</si>
  <si>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</si>
  <si>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</si>
  <si>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</si>
  <si>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</si>
  <si>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</si>
  <si>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</si>
  <si>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</si>
  <si>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</si>
  <si>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</si>
  <si>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</si>
  <si>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</si>
  <si>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</si>
  <si>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</si>
  <si>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</si>
  <si>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</si>
  <si>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</si>
  <si>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</si>
  <si>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</si>
  <si>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</si>
  <si>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</si>
  <si>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</si>
  <si>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</si>
  <si>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</si>
  <si>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</si>
  <si>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</si>
  <si>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</si>
  <si>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</si>
  <si>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</si>
  <si>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</si>
  <si>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</si>
  <si>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</si>
  <si>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</si>
  <si>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</si>
  <si>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</si>
  <si>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</si>
  <si>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</si>
  <si>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</si>
  <si>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</si>
  <si>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</si>
  <si>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</si>
  <si>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</si>
  <si>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</si>
  <si>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</si>
  <si>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</si>
  <si>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</si>
  <si>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</si>
  <si>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</si>
  <si>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</si>
  <si>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</si>
  <si>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</si>
  <si>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</si>
  <si>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</si>
  <si>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</si>
  <si>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</si>
  <si>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</si>
  <si>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</si>
  <si>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</si>
  <si>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</si>
  <si>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</si>
  <si>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</si>
  <si>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</si>
  <si>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</si>
  <si>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</si>
  <si>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</si>
  <si>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</si>
  <si>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</si>
  <si>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</si>
  <si>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</si>
  <si>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</si>
  <si>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</si>
  <si>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</si>
  <si>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</si>
  <si>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</si>
  <si>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</si>
  <si>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</si>
  <si>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</si>
  <si>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</si>
  <si>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</si>
  <si>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</si>
  <si>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</si>
  <si>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</si>
  <si>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</si>
  <si>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</si>
  <si>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</si>
  <si>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</si>
  <si>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</si>
  <si>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</si>
  <si>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</si>
  <si>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</si>
  <si>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</si>
  <si>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</si>
  <si>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</si>
  <si>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</si>
  <si>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</si>
  <si>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</si>
  <si>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</si>
  <si>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</si>
  <si>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</si>
  <si>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</si>
  <si>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</si>
  <si>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</si>
  <si>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</si>
  <si>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</si>
  <si>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</si>
  <si>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</si>
  <si>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</si>
  <si>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</si>
  <si>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</si>
  <si>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</si>
  <si>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</si>
  <si>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</si>
  <si>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</si>
  <si>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</si>
  <si>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</si>
  <si>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</si>
  <si>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</si>
  <si>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</si>
  <si>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</si>
  <si>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</si>
  <si>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</si>
  <si>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</si>
  <si>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</si>
  <si>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</si>
  <si>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</si>
  <si>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</si>
  <si>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</si>
  <si>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</si>
  <si>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</si>
  <si>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</si>
  <si>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</si>
  <si>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</si>
  <si>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</si>
  <si>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</si>
  <si>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</si>
  <si>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</si>
  <si>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</si>
  <si>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</si>
  <si>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</si>
  <si>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</si>
  <si>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</si>
  <si>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</si>
  <si>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</si>
  <si>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</si>
  <si>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</si>
  <si>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</si>
  <si>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</si>
  <si>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</si>
  <si>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</si>
  <si>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</si>
  <si>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</si>
  <si>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</si>
  <si>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</si>
  <si>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</si>
  <si>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</si>
  <si>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</si>
  <si>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</si>
  <si>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</si>
  <si>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</si>
  <si>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</si>
  <si>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</si>
  <si>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</si>
  <si>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</si>
  <si>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</si>
  <si>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</si>
  <si>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</si>
  <si>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</si>
  <si>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</si>
  <si>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</si>
  <si>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</si>
  <si>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</si>
  <si>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</si>
  <si>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</si>
  <si>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</si>
  <si>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</si>
  <si>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</si>
  <si>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</si>
  <si>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</si>
  <si>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</si>
  <si>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</si>
  <si>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</si>
  <si>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</si>
  <si>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</si>
  <si>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</si>
  <si>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</si>
  <si>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</si>
  <si>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</si>
  <si>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</si>
  <si>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</si>
  <si>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</si>
  <si>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</si>
  <si>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</si>
  <si>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</si>
  <si>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</si>
  <si>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</si>
  <si>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</si>
  <si>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</si>
  <si>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</si>
  <si>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</si>
  <si>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</si>
  <si>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</si>
  <si>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</si>
  <si>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</si>
  <si>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</si>
  <si>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</si>
  <si>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</si>
  <si>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</si>
  <si>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</si>
  <si>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</si>
  <si>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</si>
  <si>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</si>
  <si>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</si>
  <si>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</si>
  <si>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</si>
  <si>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</si>
  <si>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</si>
  <si>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</si>
  <si>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</si>
  <si>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</si>
  <si>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</si>
  <si>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</si>
  <si>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</si>
  <si>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</si>
  <si>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</si>
  <si>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</si>
  <si>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</si>
  <si>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</si>
  <si>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</si>
  <si>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</si>
  <si>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</si>
  <si>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</si>
  <si>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</si>
  <si>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</si>
  <si>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</si>
  <si>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</si>
  <si>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</si>
  <si>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</si>
  <si>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</si>
  <si>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</si>
  <si>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</si>
  <si>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</si>
  <si>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</si>
  <si>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</si>
  <si>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</si>
  <si>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</si>
  <si>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</si>
  <si>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</si>
  <si>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</si>
  <si>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</si>
  <si>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</si>
  <si>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</si>
  <si>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</si>
  <si>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</si>
  <si>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</si>
  <si>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</si>
  <si>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</si>
  <si>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</si>
  <si>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</si>
  <si>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</si>
  <si>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</si>
  <si>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</si>
  <si>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</si>
  <si>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</si>
  <si>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</si>
  <si>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</si>
  <si>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</si>
  <si>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</si>
  <si>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</si>
  <si>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</si>
  <si>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</si>
  <si>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</si>
  <si>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</si>
  <si>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</si>
  <si>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</si>
  <si>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</si>
  <si>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</si>
  <si>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</si>
  <si>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</si>
  <si>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</si>
  <si>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</si>
  <si>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</si>
  <si>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</si>
  <si>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</si>
  <si>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</si>
  <si>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</si>
  <si>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</si>
  <si>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</si>
  <si>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</si>
  <si>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</si>
  <si>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</si>
  <si>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</si>
  <si>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</si>
  <si>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</si>
  <si>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</si>
  <si>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</si>
  <si>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</si>
  <si>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</si>
  <si>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</si>
  <si>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</si>
  <si>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</si>
  <si>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</si>
  <si>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</si>
  <si>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</si>
  <si>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</si>
  <si>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</si>
  <si>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</si>
  <si>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</si>
  <si>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</si>
  <si>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</si>
  <si>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</si>
  <si>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</si>
  <si>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</si>
  <si>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</si>
  <si>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</si>
  <si>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</si>
  <si>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</si>
  <si>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</si>
  <si>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</si>
  <si>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</si>
  <si>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</si>
  <si>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</si>
  <si>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</si>
  <si>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</si>
  <si>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</si>
  <si>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</si>
  <si>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</si>
  <si>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</si>
  <si>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</si>
  <si>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</si>
  <si>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</si>
  <si>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</si>
  <si>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</si>
  <si>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</si>
  <si>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</si>
  <si>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</si>
  <si>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</si>
  <si>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</si>
  <si>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</si>
  <si>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</si>
  <si>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</si>
  <si>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</si>
  <si>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</si>
  <si>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</si>
  <si>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</si>
  <si>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</si>
  <si>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</si>
  <si>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</si>
  <si>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</si>
  <si>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</si>
  <si>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</si>
  <si>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</si>
  <si>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</si>
  <si>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</si>
  <si>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</si>
  <si>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</si>
  <si>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</si>
  <si>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</si>
  <si>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</si>
  <si>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</si>
  <si>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</si>
  <si>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</si>
  <si>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</si>
  <si>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</si>
  <si>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</si>
  <si>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</si>
  <si>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</si>
  <si>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</si>
  <si>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</si>
  <si>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</si>
  <si>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</si>
  <si>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</si>
  <si>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</si>
  <si>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</si>
  <si>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</si>
  <si>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</si>
  <si>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</si>
  <si>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</si>
  <si>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</si>
  <si>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</si>
  <si>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</si>
  <si>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</si>
  <si>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</si>
  <si>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</si>
  <si>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</si>
  <si>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</si>
  <si>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</si>
  <si>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</si>
  <si>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</si>
  <si>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</si>
  <si>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</si>
  <si>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</si>
  <si>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</si>
  <si>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</si>
  <si>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</si>
  <si>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</si>
  <si>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</si>
  <si>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</si>
  <si>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</si>
  <si>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</si>
  <si>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</si>
  <si>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</si>
  <si>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</si>
  <si>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</si>
  <si>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</si>
  <si>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</si>
  <si>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</si>
  <si>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</si>
  <si>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</si>
  <si>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</si>
  <si>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</si>
  <si>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</si>
  <si>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</si>
  <si>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</si>
  <si>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</si>
  <si>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</si>
  <si>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</si>
  <si>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</si>
  <si>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</si>
  <si>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</si>
  <si>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</si>
  <si>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</si>
  <si>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</si>
  <si>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</si>
  <si>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</si>
  <si>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</si>
  <si>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</si>
  <si>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</si>
  <si>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</si>
  <si>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</si>
  <si>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</si>
  <si>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</si>
  <si>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</si>
  <si>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</si>
  <si>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</si>
  <si>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</si>
  <si>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</si>
  <si>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</si>
  <si>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</si>
  <si>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</si>
  <si>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</si>
  <si>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</si>
  <si>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</si>
  <si>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</si>
  <si>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</si>
  <si>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</si>
  <si>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</si>
  <si>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</si>
  <si>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</si>
  <si>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</si>
  <si>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</si>
  <si>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</si>
  <si>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</si>
  <si>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</si>
  <si>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</si>
  <si>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</si>
  <si>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</si>
  <si>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</si>
  <si>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</si>
  <si>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</si>
  <si>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</si>
  <si>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</si>
  <si>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</si>
  <si>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</si>
  <si>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</si>
  <si>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</si>
  <si>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</si>
  <si>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</si>
  <si>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</si>
  <si>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</si>
  <si>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</si>
  <si>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</si>
  <si>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</si>
  <si>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</si>
  <si>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</si>
  <si>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</si>
  <si>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</si>
  <si>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</si>
  <si>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</si>
  <si>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</si>
  <si>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</si>
  <si>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</si>
  <si>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</si>
  <si>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</si>
  <si>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</si>
  <si>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</si>
  <si>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</si>
  <si>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</si>
  <si>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</si>
  <si>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</si>
  <si>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</si>
  <si>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</si>
  <si>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</si>
  <si>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</si>
  <si>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</si>
  <si>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</si>
  <si>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</si>
  <si>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</si>
  <si>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</si>
  <si>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</si>
  <si>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</si>
  <si>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</si>
  <si>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</si>
  <si>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</si>
  <si>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</si>
  <si>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</si>
  <si>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</si>
  <si>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</si>
  <si>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</si>
  <si>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</si>
  <si>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</si>
  <si>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</si>
  <si>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</si>
  <si>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</si>
  <si>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</si>
  <si>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</si>
  <si>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</si>
  <si>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</si>
  <si>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</si>
  <si>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</si>
  <si>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</si>
  <si>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</si>
  <si>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</si>
  <si>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</si>
  <si>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</si>
  <si>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</si>
  <si>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</si>
  <si>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</si>
  <si>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</si>
  <si>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</si>
  <si>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</si>
  <si>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</si>
  <si>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</si>
  <si>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</si>
  <si>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</si>
  <si>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</si>
  <si>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</si>
  <si>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</si>
  <si>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</si>
  <si>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</si>
  <si>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</si>
  <si>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</si>
  <si>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</si>
  <si>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</si>
  <si>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</si>
  <si>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</si>
  <si>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</si>
  <si>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</si>
  <si>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</si>
  <si>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</si>
  <si>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</si>
  <si>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</si>
  <si>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</si>
  <si>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</si>
  <si>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</si>
  <si>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</si>
  <si>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</si>
  <si>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</si>
  <si>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</si>
  <si>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</si>
  <si>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</si>
  <si>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</si>
  <si>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</si>
  <si>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</si>
  <si>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</si>
  <si>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</si>
  <si>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</si>
  <si>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</si>
  <si>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</si>
  <si>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</si>
  <si>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</si>
  <si>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</si>
  <si>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</si>
  <si>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</si>
  <si>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</si>
  <si>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</si>
  <si>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</si>
  <si>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</si>
  <si>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</si>
  <si>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</si>
  <si>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</si>
  <si>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</si>
  <si>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</si>
  <si>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</si>
  <si>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</si>
  <si>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</si>
  <si>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</si>
  <si>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</si>
  <si>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</si>
  <si>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</si>
  <si>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</si>
  <si>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</si>
  <si>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</si>
  <si>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</si>
  <si>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</si>
  <si>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</si>
  <si>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</si>
  <si>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</si>
  <si>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</si>
  <si>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</si>
  <si>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</si>
  <si>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</si>
  <si>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</si>
  <si>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</si>
  <si>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</si>
  <si>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</si>
  <si>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</si>
  <si>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</si>
  <si>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</si>
  <si>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</si>
  <si>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</si>
  <si>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</si>
  <si>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</si>
  <si>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</si>
  <si>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</si>
  <si>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</si>
  <si>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</si>
  <si>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</si>
  <si>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</si>
  <si>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</si>
  <si>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</si>
  <si>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</si>
  <si>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</si>
  <si>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</si>
  <si>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</si>
  <si>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</si>
  <si>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</si>
  <si>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</si>
  <si>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</si>
  <si>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</si>
  <si>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</si>
  <si>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</si>
  <si>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</si>
  <si>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</si>
  <si>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</si>
  <si>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</si>
  <si>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</si>
  <si>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</si>
  <si>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</si>
  <si>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</si>
  <si>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</si>
  <si>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</si>
  <si>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</si>
  <si>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</si>
  <si>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</si>
  <si>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</si>
  <si>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</si>
  <si>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</si>
  <si>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</si>
  <si>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</si>
  <si>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</si>
  <si>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</si>
  <si>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</si>
  <si>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</si>
  <si>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</si>
  <si>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</si>
  <si>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</si>
  <si>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</si>
  <si>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</si>
  <si>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</si>
  <si>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</si>
  <si>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</si>
  <si>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</si>
  <si>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</si>
  <si>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</si>
  <si>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</si>
  <si>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</si>
  <si>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</si>
  <si>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</si>
  <si>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</si>
  <si>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</si>
  <si>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</si>
  <si>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</si>
  <si>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</si>
  <si>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</si>
  <si>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</si>
  <si>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</si>
  <si>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</si>
  <si>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</si>
  <si>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</si>
  <si>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</si>
  <si>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</si>
  <si>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</si>
  <si>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</si>
  <si>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</si>
  <si>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</si>
  <si>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</si>
  <si>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</si>
  <si>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</si>
  <si>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</si>
  <si>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</si>
  <si>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</si>
  <si>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</si>
  <si>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</si>
  <si>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</si>
  <si>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</si>
  <si>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</si>
  <si>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</si>
  <si>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</si>
  <si>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</si>
  <si>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</si>
  <si>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</si>
  <si>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</si>
  <si>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</si>
  <si>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</si>
  <si>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</si>
  <si>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</si>
  <si>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</si>
  <si>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</si>
  <si>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</si>
  <si>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</si>
  <si>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</si>
  <si>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</si>
  <si>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</si>
  <si>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</si>
  <si>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</si>
  <si>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</si>
  <si>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</si>
  <si>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</si>
  <si>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</si>
  <si>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</si>
  <si>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</si>
  <si>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</si>
  <si>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</si>
  <si>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</si>
  <si>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</si>
  <si>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</si>
  <si>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</si>
  <si>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</si>
  <si>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</si>
  <si>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</si>
  <si>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</si>
  <si>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</si>
  <si>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</si>
  <si>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</si>
  <si>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</si>
  <si>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</si>
  <si>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</si>
  <si>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</si>
  <si>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</si>
  <si>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</si>
  <si>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</si>
  <si>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</si>
  <si>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</si>
  <si>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</si>
  <si>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</si>
  <si>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</si>
  <si>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</si>
  <si>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</si>
  <si>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</si>
  <si>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</si>
  <si>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</si>
  <si>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</si>
  <si>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</si>
  <si>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</si>
  <si>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</si>
  <si>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</si>
  <si>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</si>
  <si>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</si>
  <si>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</si>
  <si>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</si>
  <si>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</si>
  <si>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</si>
  <si>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</si>
  <si>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</si>
  <si>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</si>
  <si>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</si>
  <si>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</si>
  <si>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</si>
  <si>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</si>
  <si>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</si>
  <si>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</si>
  <si>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</si>
  <si>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</si>
  <si>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</si>
  <si>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</si>
  <si>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</si>
  <si>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</si>
  <si>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</si>
  <si>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</si>
  <si>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</si>
  <si>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</si>
  <si>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</si>
  <si>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</si>
  <si>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</si>
  <si>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</si>
  <si>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</si>
  <si>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</si>
  <si>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</si>
  <si>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</si>
  <si>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</si>
  <si>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</si>
  <si>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</si>
  <si>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</si>
  <si>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</si>
  <si>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</si>
  <si>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</si>
  <si>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</si>
  <si>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</si>
  <si>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</si>
  <si>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</si>
  <si>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</si>
  <si>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</si>
  <si>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</si>
  <si>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</si>
  <si>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</si>
  <si>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</si>
  <si>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</si>
  <si>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</si>
  <si>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</si>
  <si>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</si>
  <si>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</si>
  <si>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</si>
  <si>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</si>
  <si>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</si>
  <si>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</si>
  <si>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</si>
  <si>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</si>
  <si>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</si>
  <si>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</si>
  <si>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</si>
  <si>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</si>
  <si>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</si>
  <si>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</si>
  <si>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</si>
  <si>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</si>
  <si>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</si>
  <si>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</si>
  <si>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</si>
  <si>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</si>
  <si>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</si>
  <si>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</si>
  <si>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</si>
  <si>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</si>
  <si>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</si>
  <si>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</si>
  <si>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</si>
  <si>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</si>
  <si>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</si>
  <si>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</si>
  <si>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</si>
  <si>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</si>
  <si>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</si>
  <si>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</si>
  <si>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</si>
  <si>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</si>
  <si>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</si>
  <si>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</si>
  <si>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</si>
  <si>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</si>
  <si>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</si>
  <si>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</si>
  <si>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</si>
  <si>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</si>
  <si>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</si>
  <si>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</si>
  <si>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</si>
  <si>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</si>
  <si>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</si>
  <si>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</si>
  <si>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</si>
  <si>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</si>
  <si>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</si>
  <si>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</si>
  <si>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</si>
  <si>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</si>
  <si>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</si>
  <si>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</si>
  <si>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</si>
  <si>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</si>
  <si>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</si>
  <si>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</si>
  <si>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</si>
  <si>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</si>
  <si>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</si>
  <si>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</si>
  <si>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</si>
  <si>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</si>
  <si>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</si>
  <si>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</si>
  <si>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</si>
  <si>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</si>
  <si>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</si>
  <si>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</si>
  <si>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</si>
  <si>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</si>
  <si>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</si>
  <si>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</si>
  <si>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</si>
  <si>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</si>
  <si>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</si>
  <si>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</si>
  <si>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</si>
  <si>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</si>
  <si>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</si>
  <si>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</si>
  <si>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</si>
  <si>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</si>
  <si>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</si>
  <si>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</si>
  <si>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</si>
  <si>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</si>
  <si>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</si>
  <si>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</si>
  <si>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</si>
  <si>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</si>
  <si>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</si>
  <si>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</si>
  <si>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</si>
  <si>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</si>
  <si>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</si>
  <si>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</si>
  <si>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</si>
  <si>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</si>
  <si>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</si>
  <si>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</si>
  <si>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</si>
  <si>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</si>
  <si>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</si>
  <si>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</si>
  <si>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</si>
  <si>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</si>
  <si>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</si>
  <si>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</si>
  <si>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</si>
  <si>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</si>
  <si>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</si>
  <si>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</si>
  <si>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</si>
  <si>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</si>
  <si>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</si>
  <si>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</si>
  <si>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</si>
  <si>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</si>
  <si>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</si>
  <si>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</si>
  <si>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</si>
  <si>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</si>
  <si>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</si>
  <si>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</si>
  <si>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</si>
  <si>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</si>
  <si>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</si>
  <si>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</si>
  <si>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</si>
  <si>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</si>
  <si>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</si>
  <si>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</si>
  <si>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</si>
  <si>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</si>
  <si>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</si>
  <si>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</si>
  <si>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</si>
  <si>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</si>
  <si>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</si>
  <si>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</si>
  <si>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</si>
  <si>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</si>
  <si>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</si>
  <si>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</si>
  <si>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</si>
  <si>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</si>
  <si>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</si>
  <si>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</si>
  <si>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</si>
  <si>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</si>
  <si>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</si>
  <si>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</si>
  <si>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</si>
  <si>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</si>
  <si>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</si>
  <si>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</si>
  <si>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</si>
  <si>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</si>
  <si>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</si>
  <si>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</si>
  <si>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</si>
  <si>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</si>
  <si>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</si>
  <si>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</si>
  <si>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</si>
  <si>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</si>
  <si>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</si>
  <si>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</si>
  <si>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</si>
  <si>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</si>
  <si>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</si>
  <si>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</si>
  <si>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</si>
  <si>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</si>
  <si>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</si>
  <si>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</si>
  <si>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</si>
  <si>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</si>
  <si>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</si>
  <si>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</si>
  <si>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</si>
  <si>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</si>
  <si>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</si>
  <si>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</si>
  <si>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</si>
  <si>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</si>
  <si>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</si>
  <si>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</si>
  <si>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</si>
  <si>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</si>
  <si>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</si>
  <si>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</si>
  <si>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</si>
  <si>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</si>
  <si>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</si>
  <si>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</si>
  <si>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</si>
  <si>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</si>
  <si>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</si>
  <si>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</si>
  <si>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</si>
  <si>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</si>
  <si>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</si>
  <si>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</si>
  <si>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</si>
  <si>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</si>
  <si>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</si>
  <si>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</si>
  <si>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</si>
  <si>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</si>
  <si>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</si>
  <si>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</si>
  <si>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</si>
  <si>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</si>
  <si>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</si>
  <si>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</si>
  <si>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</si>
  <si>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</si>
  <si>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</si>
  <si>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</si>
  <si>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</si>
  <si>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</si>
  <si>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</si>
  <si>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</si>
  <si>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</si>
  <si>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</si>
  <si>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</si>
  <si>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</si>
  <si>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</si>
  <si>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</si>
  <si>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</si>
  <si>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</si>
  <si>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</si>
  <si>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</si>
  <si>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</si>
  <si>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</si>
  <si>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</si>
  <si>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</si>
  <si>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</si>
  <si>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</si>
  <si>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</si>
  <si>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</si>
  <si>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</si>
  <si>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</si>
  <si>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</si>
  <si>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</si>
  <si>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</si>
  <si>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</si>
  <si>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</si>
  <si>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</si>
  <si>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</si>
  <si>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</si>
  <si>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</si>
  <si>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</si>
  <si>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</si>
  <si>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</si>
  <si>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</si>
  <si>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</si>
  <si>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</si>
  <si>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</si>
  <si>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</si>
  <si>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</si>
  <si>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</si>
  <si>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</si>
  <si>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</si>
  <si>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</si>
  <si>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</si>
  <si>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</si>
  <si>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</si>
  <si>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</si>
  <si>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</si>
  <si>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</si>
  <si>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</si>
  <si>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</si>
  <si>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</si>
  <si>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</si>
  <si>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</si>
  <si>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</si>
  <si>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</si>
  <si>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</si>
  <si>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</si>
  <si>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</si>
  <si>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</si>
  <si>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</si>
  <si>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</si>
  <si>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</si>
  <si>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</si>
  <si>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</si>
  <si>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</si>
  <si>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</si>
  <si>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</si>
  <si>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</si>
  <si>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</si>
  <si>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</si>
  <si>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</si>
  <si>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</si>
  <si>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</si>
  <si>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</si>
  <si>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</si>
  <si>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</si>
  <si>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</si>
  <si>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</si>
  <si>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</si>
  <si>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</si>
  <si>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</si>
  <si>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</si>
  <si>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</si>
  <si>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</si>
  <si>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</si>
  <si>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</si>
  <si>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</si>
  <si>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</si>
  <si>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</si>
  <si>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</si>
  <si>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</si>
  <si>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</si>
  <si>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</si>
  <si>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</si>
  <si>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</si>
  <si>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</si>
  <si>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</si>
  <si>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</si>
  <si>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</si>
  <si>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</si>
  <si>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</si>
  <si>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</si>
  <si>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</si>
  <si>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</si>
  <si>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</si>
  <si>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</si>
  <si>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</si>
  <si>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</si>
  <si>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</si>
  <si>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</si>
  <si>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</si>
  <si>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</si>
  <si>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</si>
  <si>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</si>
  <si>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</si>
  <si>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</si>
  <si>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</si>
  <si>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</si>
  <si>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</si>
  <si>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</si>
  <si>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</si>
  <si>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</si>
  <si>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</si>
  <si>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</si>
  <si>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</si>
  <si>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</si>
  <si>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</si>
  <si>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</si>
  <si>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</si>
  <si>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</si>
  <si>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</si>
  <si>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</si>
  <si>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</si>
  <si>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</si>
  <si>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</si>
  <si>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</si>
  <si>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</si>
  <si>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</si>
  <si>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</si>
  <si>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</si>
  <si>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</si>
  <si>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</si>
  <si>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</si>
  <si>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</si>
  <si>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</si>
  <si>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</si>
  <si>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</si>
  <si>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</si>
  <si>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</si>
  <si>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</si>
  <si>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</si>
  <si>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</si>
  <si>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</si>
  <si>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</si>
  <si>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</si>
  <si>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</si>
  <si>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</si>
  <si>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</si>
  <si>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</si>
  <si>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</si>
  <si>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</si>
  <si>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</si>
  <si>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</si>
  <si>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</si>
  <si>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</si>
  <si>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</si>
  <si>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</si>
  <si>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</si>
  <si>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</si>
  <si>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</si>
  <si>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</si>
  <si>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</si>
  <si>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</si>
  <si>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</si>
  <si>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</si>
  <si>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</si>
  <si>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</si>
  <si>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</si>
  <si>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</si>
  <si>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</si>
  <si>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</si>
  <si>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</si>
  <si>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</si>
  <si>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</si>
  <si>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</si>
  <si>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</si>
  <si>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</si>
  <si>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</si>
  <si>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</si>
  <si>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</si>
  <si>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</si>
  <si>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</si>
  <si>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</si>
  <si>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</si>
  <si>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</si>
  <si>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</si>
  <si>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</si>
  <si>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</si>
  <si>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</si>
  <si>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</si>
  <si>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</si>
  <si>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</si>
  <si>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</si>
  <si>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</si>
  <si>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</si>
  <si>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</si>
  <si>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</si>
  <si>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</si>
  <si>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</si>
  <si>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</si>
  <si>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</si>
  <si>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</si>
  <si>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</si>
  <si>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</si>
  <si>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</si>
  <si>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</si>
  <si>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</si>
  <si>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</si>
  <si>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</si>
  <si>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</si>
  <si>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</si>
  <si>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</si>
  <si>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</si>
  <si>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</si>
  <si>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</si>
  <si>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</si>
  <si>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</si>
  <si>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</si>
  <si>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</si>
  <si>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</si>
  <si>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</si>
  <si>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</si>
  <si>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</si>
  <si>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</si>
  <si>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</si>
  <si>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</si>
  <si>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</si>
  <si>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</si>
  <si>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</si>
  <si>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</si>
  <si>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</si>
  <si>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</si>
  <si>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</si>
  <si>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</si>
  <si>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</si>
  <si>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</si>
  <si>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</si>
  <si>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</si>
  <si>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</si>
  <si>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</si>
  <si>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</si>
  <si>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</si>
  <si>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</si>
  <si>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</si>
  <si>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</si>
  <si>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</si>
  <si>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</si>
  <si>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</si>
  <si>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</si>
  <si>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</si>
  <si>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</si>
  <si>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</si>
  <si>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</si>
  <si>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</si>
  <si>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</si>
  <si>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</si>
  <si>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</si>
  <si>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</si>
  <si>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</si>
  <si>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</si>
  <si>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</si>
  <si>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</si>
  <si>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</si>
  <si>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</si>
  <si>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</si>
  <si>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</si>
  <si>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</si>
  <si>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</si>
  <si>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</si>
  <si>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</si>
  <si>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</si>
  <si>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</si>
  <si>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</si>
  <si>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</si>
  <si>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</si>
  <si>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</si>
  <si>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</si>
  <si>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</si>
  <si>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</si>
  <si>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</si>
  <si>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</si>
  <si>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</si>
  <si>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</si>
  <si>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</si>
  <si>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</si>
  <si>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</si>
  <si>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</si>
  <si>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</si>
  <si>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</si>
  <si>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</si>
  <si>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</si>
  <si>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</si>
  <si>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</si>
  <si>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</si>
  <si>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</si>
  <si>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</si>
  <si>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</si>
  <si>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</si>
  <si>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</si>
  <si>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</si>
  <si>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</si>
  <si>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</si>
  <si>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</si>
  <si>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</si>
  <si>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</si>
  <si>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</si>
  <si>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</si>
  <si>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</si>
  <si>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</si>
  <si>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</si>
  <si>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</si>
  <si>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</si>
  <si>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</si>
  <si>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</si>
  <si>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</si>
  <si>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</si>
  <si>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</si>
  <si>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</si>
  <si>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</si>
  <si>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</si>
  <si>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</si>
  <si>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</si>
  <si>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</si>
  <si>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</si>
  <si>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</si>
  <si>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</si>
  <si>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</si>
  <si>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</si>
  <si>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</si>
  <si>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</si>
  <si>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</si>
  <si>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</si>
  <si>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</si>
  <si>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</si>
  <si>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</si>
  <si>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</si>
  <si>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</si>
  <si>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</si>
  <si>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</si>
  <si>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</si>
  <si>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</si>
  <si>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</si>
  <si>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</si>
  <si>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</si>
  <si>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</si>
  <si>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</si>
  <si>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</si>
  <si>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</si>
  <si>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</si>
  <si>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</si>
  <si>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</si>
  <si>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</si>
  <si>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</si>
  <si>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</si>
  <si>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</si>
  <si>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</si>
  <si>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</si>
  <si>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</si>
  <si>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</si>
  <si>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</si>
  <si>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</si>
  <si>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</si>
  <si>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</si>
  <si>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</si>
  <si>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</si>
  <si>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</si>
  <si>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</si>
  <si>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</si>
  <si>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</si>
  <si>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</si>
  <si>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</si>
  <si>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</si>
  <si>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</si>
  <si>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</si>
  <si>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</si>
  <si>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</si>
  <si>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</si>
  <si>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</si>
  <si>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</si>
  <si>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</si>
  <si>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</si>
  <si>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</si>
  <si>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</si>
  <si>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</si>
  <si>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</si>
  <si>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</si>
  <si>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</si>
  <si>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</si>
  <si>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</si>
  <si>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</si>
  <si>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</si>
  <si>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</si>
  <si>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</si>
  <si>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</si>
  <si>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</si>
  <si>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</si>
  <si>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</si>
  <si>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</si>
  <si>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</si>
  <si>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</si>
  <si>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</si>
  <si>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</si>
  <si>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</si>
  <si>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</si>
  <si>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</si>
  <si>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</si>
  <si>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</si>
  <si>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</si>
  <si>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</si>
  <si>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</si>
  <si>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</si>
  <si>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</si>
  <si>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</si>
  <si>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</si>
  <si>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</si>
  <si>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</si>
  <si>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</si>
  <si>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</si>
  <si>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</si>
  <si>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</si>
  <si>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</si>
  <si>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</si>
  <si>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</si>
  <si>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</si>
  <si>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</si>
  <si>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</si>
  <si>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</si>
  <si>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</si>
  <si>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</si>
  <si>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</si>
  <si>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</si>
  <si>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</si>
  <si>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</si>
  <si>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</si>
  <si>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</si>
  <si>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</si>
  <si>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</si>
  <si>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</si>
  <si>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</si>
  <si>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</si>
  <si>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</si>
  <si>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</si>
  <si>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</si>
  <si>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</si>
  <si>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</si>
  <si>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</si>
  <si>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</si>
  <si>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</si>
  <si>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</si>
  <si>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</si>
  <si>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</si>
  <si>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</si>
  <si>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</si>
  <si>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</si>
  <si>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</si>
  <si>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</si>
  <si>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</si>
  <si>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</si>
  <si>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</si>
  <si>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</si>
  <si>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</si>
  <si>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</si>
  <si>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</si>
  <si>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</si>
  <si>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</si>
  <si>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</si>
  <si>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</si>
  <si>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</si>
  <si>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</si>
  <si>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</si>
  <si>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</si>
  <si>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</si>
  <si>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</si>
  <si>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</si>
  <si>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</si>
  <si>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</si>
  <si>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</si>
  <si>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</si>
  <si>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</si>
  <si>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</si>
  <si>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</si>
  <si>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</si>
  <si>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</si>
  <si>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</si>
  <si>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</si>
  <si>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</si>
  <si>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</si>
  <si>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</si>
  <si>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</si>
  <si>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</si>
  <si>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</si>
  <si>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</si>
  <si>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</si>
  <si>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</si>
  <si>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</si>
  <si>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</si>
  <si>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</si>
  <si>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</si>
  <si>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</si>
  <si>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</si>
  <si>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</si>
  <si>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</si>
  <si>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</si>
  <si>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</si>
  <si>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</si>
  <si>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</si>
  <si>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</si>
  <si>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</si>
  <si>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</si>
  <si>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</si>
  <si>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</si>
  <si>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</si>
  <si>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</si>
  <si>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</si>
  <si>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</si>
  <si>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</si>
  <si>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</si>
  <si>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</si>
  <si>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</si>
  <si>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</si>
  <si>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</si>
  <si>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</si>
  <si>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</si>
  <si>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</si>
  <si>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</si>
  <si>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</si>
  <si>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</si>
  <si>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</si>
  <si>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</si>
  <si>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</si>
  <si>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</si>
  <si>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</si>
  <si>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</si>
  <si>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</si>
  <si>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</si>
  <si>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</si>
  <si>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</si>
  <si>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</si>
  <si>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</si>
  <si>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</si>
  <si>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</si>
  <si>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</si>
  <si>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</si>
  <si>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</si>
  <si>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</si>
  <si>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</si>
  <si>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</si>
  <si>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</si>
  <si>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</si>
  <si>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</si>
  <si>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</si>
  <si>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</si>
  <si>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</si>
  <si>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</si>
  <si>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</si>
  <si>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</si>
  <si>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</si>
  <si>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</si>
  <si>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</si>
  <si>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</si>
  <si>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</si>
  <si>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</si>
  <si>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</si>
  <si>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</si>
  <si>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</si>
  <si>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</si>
  <si>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</si>
  <si>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</si>
  <si>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</si>
  <si>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</si>
  <si>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</si>
  <si>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</si>
  <si>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</si>
  <si>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</si>
  <si>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</si>
  <si>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</si>
  <si>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</si>
  <si>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</si>
  <si>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</si>
  <si>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</si>
  <si>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</si>
  <si>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</si>
  <si>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</si>
  <si>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</si>
  <si>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</si>
  <si>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</si>
  <si>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</si>
  <si>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</si>
  <si>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</si>
  <si>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</si>
  <si>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</si>
  <si>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</si>
  <si>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</si>
  <si>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</si>
  <si>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</si>
  <si>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</si>
  <si>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</si>
  <si>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</si>
  <si>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</si>
  <si>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</si>
  <si>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</si>
  <si>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</si>
  <si>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</si>
  <si>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</si>
  <si>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</si>
  <si>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</si>
  <si>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</si>
  <si>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</si>
  <si>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</si>
  <si>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</si>
  <si>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</si>
  <si>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</si>
  <si>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</si>
  <si>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</si>
  <si>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</si>
  <si>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</si>
  <si>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</si>
  <si>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</si>
  <si>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</si>
  <si>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</si>
  <si>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</si>
  <si>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</si>
  <si>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</si>
  <si>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</si>
  <si>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</si>
  <si>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</si>
  <si>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</si>
  <si>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</si>
  <si>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</si>
  <si>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</si>
  <si>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</si>
  <si>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</si>
  <si>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</si>
  <si>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</si>
  <si>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</si>
  <si>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</si>
  <si>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</si>
  <si>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</si>
  <si>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</si>
  <si>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</si>
  <si>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</si>
  <si>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</si>
  <si>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</si>
  <si>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</si>
  <si>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</si>
  <si>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</si>
  <si>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</si>
  <si>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</si>
  <si>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</si>
  <si>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</si>
  <si>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</si>
  <si>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</si>
  <si>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</si>
  <si>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</si>
  <si>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</si>
  <si>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</si>
  <si>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</si>
  <si>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</si>
  <si>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</si>
  <si>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</si>
  <si>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</si>
  <si>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</si>
  <si>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</si>
  <si>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</si>
  <si>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</si>
  <si>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</si>
  <si>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</si>
  <si>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</si>
  <si>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</si>
  <si>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</si>
  <si>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</si>
  <si>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</si>
  <si>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</si>
  <si>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</si>
  <si>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</si>
  <si>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</si>
  <si>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</si>
  <si>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</si>
  <si>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</si>
  <si>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</si>
  <si>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</si>
  <si>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</si>
  <si>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</si>
  <si>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</si>
  <si>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</si>
  <si>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</si>
  <si>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</si>
  <si>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</si>
  <si>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</si>
  <si>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</si>
  <si>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</si>
  <si>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</si>
  <si>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</si>
  <si>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</si>
  <si>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</si>
  <si>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</si>
  <si>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</si>
  <si>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</si>
  <si>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</si>
  <si>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</si>
  <si>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</si>
  <si>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</si>
  <si>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</si>
  <si>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</si>
  <si>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</si>
  <si>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</si>
  <si>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</si>
  <si>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</si>
  <si>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</si>
  <si>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</si>
  <si>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</si>
  <si>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</si>
  <si>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</si>
  <si>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</si>
  <si>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</si>
  <si>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</si>
  <si>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</si>
  <si>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</si>
  <si>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</si>
  <si>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</si>
  <si>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</si>
  <si>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</si>
  <si>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</si>
  <si>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</si>
  <si>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</si>
  <si>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</si>
  <si>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</si>
  <si>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</si>
  <si>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</si>
  <si>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</si>
  <si>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</si>
  <si>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</si>
  <si>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</si>
  <si>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</si>
  <si>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</si>
  <si>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</si>
  <si>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</si>
  <si>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</si>
  <si>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</si>
  <si>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</si>
  <si>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</si>
  <si>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</si>
  <si>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</si>
  <si>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</si>
  <si>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</si>
  <si>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</si>
  <si>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</si>
  <si>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</si>
  <si>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</si>
  <si>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</si>
  <si>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</si>
  <si>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</si>
  <si>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</si>
  <si>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</si>
  <si>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</si>
  <si>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</si>
  <si>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</si>
  <si>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</si>
  <si>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</si>
  <si>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</si>
  <si>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</si>
  <si>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</si>
  <si>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</si>
  <si>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</si>
  <si>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</si>
  <si>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</si>
  <si>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</si>
  <si>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</si>
  <si>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</si>
  <si>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</si>
  <si>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</si>
  <si>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</si>
  <si>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</si>
  <si>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</si>
  <si>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</si>
  <si>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</si>
  <si>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</si>
  <si>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</si>
  <si>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</si>
  <si>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</si>
  <si>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</si>
  <si>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</si>
  <si>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</si>
  <si>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</si>
  <si>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</si>
  <si>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</si>
  <si>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</si>
  <si>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</si>
  <si>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</si>
  <si>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</si>
  <si>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</si>
  <si>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</si>
  <si>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</si>
  <si>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</si>
  <si>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</si>
  <si>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</si>
  <si>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</si>
  <si>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</si>
  <si>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</si>
  <si>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</si>
  <si>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</si>
  <si>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</si>
  <si>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</si>
  <si>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</si>
  <si>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</si>
  <si>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</si>
  <si>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</si>
  <si>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</si>
  <si>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</si>
  <si>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</si>
  <si>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</si>
  <si>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</si>
  <si>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</si>
  <si>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</si>
  <si>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</si>
  <si>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</si>
  <si>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</si>
  <si>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</si>
  <si>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</si>
  <si>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</si>
  <si>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</si>
  <si>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</si>
  <si>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</si>
  <si>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</si>
  <si>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</si>
  <si>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</si>
  <si>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</si>
  <si>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</si>
  <si>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</si>
  <si>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</si>
  <si>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</si>
  <si>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</si>
  <si>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</si>
  <si>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</si>
  <si>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</si>
  <si>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</si>
  <si>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</si>
  <si>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</si>
  <si>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</si>
  <si>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</si>
  <si>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</si>
  <si>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</si>
  <si>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</si>
  <si>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</si>
  <si>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</si>
  <si>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</si>
  <si>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</si>
  <si>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</si>
  <si>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</si>
  <si>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</si>
  <si>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</si>
  <si>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</si>
  <si>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</si>
  <si>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</si>
  <si>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</si>
  <si>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</si>
  <si>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</si>
  <si>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</si>
  <si>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</si>
  <si>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</si>
  <si>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</si>
  <si>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</si>
  <si>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</si>
  <si>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</si>
  <si>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</si>
  <si>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</si>
  <si>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</si>
  <si>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</si>
  <si>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</si>
  <si>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</si>
  <si>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</si>
  <si>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</si>
  <si>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</si>
  <si>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</si>
  <si>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</si>
  <si>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</si>
  <si>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</si>
  <si>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</si>
  <si>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</si>
  <si>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</si>
  <si>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</si>
  <si>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</si>
  <si>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</si>
  <si>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</si>
  <si>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</si>
  <si>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</si>
  <si>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</si>
  <si>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</si>
  <si>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</si>
  <si>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</si>
  <si>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</si>
  <si>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</si>
  <si>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</si>
  <si>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</si>
  <si>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</si>
  <si>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</si>
  <si>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</si>
  <si>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</si>
  <si>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</si>
  <si>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</si>
  <si>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</si>
  <si>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</si>
  <si>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</si>
  <si>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</si>
  <si>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</si>
  <si>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</si>
  <si>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</si>
  <si>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</si>
  <si>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</si>
  <si>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</si>
  <si>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</si>
  <si>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</si>
  <si>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</si>
  <si>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</si>
  <si>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</si>
  <si>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</si>
  <si>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</si>
  <si>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</si>
  <si>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</si>
  <si>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</si>
  <si>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</si>
  <si>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</si>
  <si>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</si>
  <si>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</si>
  <si>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</si>
  <si>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</si>
  <si>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</si>
  <si>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</si>
  <si>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</si>
  <si>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</si>
  <si>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</si>
  <si>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</si>
  <si>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</si>
  <si>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</si>
  <si>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</si>
  <si>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</si>
  <si>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</si>
  <si>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</si>
  <si>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</si>
  <si>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</si>
  <si>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</si>
  <si>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</si>
  <si>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</si>
  <si>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</si>
  <si>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</si>
  <si>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</si>
  <si>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</si>
  <si>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</si>
  <si>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</si>
  <si>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</si>
  <si>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</si>
  <si>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</si>
  <si>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</si>
  <si>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</si>
  <si>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</si>
  <si>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</si>
  <si>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</si>
  <si>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</si>
  <si>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</si>
  <si>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</si>
  <si>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</si>
  <si>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</si>
  <si>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</si>
  <si>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</si>
  <si>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</si>
  <si>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</si>
  <si>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</si>
  <si>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</si>
  <si>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</si>
  <si>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</si>
  <si>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</si>
  <si>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</si>
  <si>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</si>
  <si>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</si>
  <si>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</si>
  <si>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</si>
  <si>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</si>
  <si>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</si>
  <si>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</si>
  <si>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</si>
  <si>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</si>
  <si>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</si>
  <si>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</si>
  <si>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</si>
  <si>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</si>
  <si>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</si>
  <si>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</si>
  <si>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</si>
  <si>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</si>
  <si>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</si>
  <si>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</si>
  <si>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</si>
  <si>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</si>
  <si>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</si>
  <si>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</si>
  <si>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</si>
  <si>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</si>
  <si>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</si>
  <si>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</si>
  <si>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</si>
  <si>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</si>
  <si>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</si>
  <si>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</si>
  <si>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</si>
  <si>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</si>
  <si>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</si>
  <si>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</si>
  <si>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</si>
  <si>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</si>
  <si>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</si>
  <si>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</si>
  <si>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</si>
  <si>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</si>
  <si>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</si>
  <si>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</si>
  <si>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</si>
  <si>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</si>
  <si>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</si>
  <si>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</si>
  <si>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</si>
  <si>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</si>
  <si>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</si>
  <si>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</si>
  <si>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</si>
  <si>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</si>
  <si>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</si>
  <si>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</si>
  <si>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</si>
  <si>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</si>
  <si>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</si>
  <si>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</si>
  <si>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</si>
  <si>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</si>
  <si>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</si>
  <si>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</si>
  <si>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</si>
  <si>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</si>
  <si>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</si>
  <si>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</si>
  <si>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</si>
  <si>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</si>
  <si>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</si>
  <si>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</si>
  <si>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</si>
  <si>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</si>
  <si>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</si>
  <si>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</si>
  <si>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</si>
  <si>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</si>
  <si>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</si>
  <si>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</si>
  <si>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</si>
  <si>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</si>
  <si>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</si>
  <si>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</si>
  <si>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</si>
  <si>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</si>
  <si>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</si>
  <si>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</si>
  <si>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</si>
  <si>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</si>
  <si>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</si>
  <si>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</si>
  <si>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</si>
  <si>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</si>
  <si>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</si>
  <si>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</si>
  <si>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</si>
  <si>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</si>
  <si>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</si>
  <si>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</si>
  <si>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</si>
  <si>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</si>
  <si>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</si>
  <si>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</si>
  <si>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</si>
  <si>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</si>
  <si>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</si>
  <si>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</si>
  <si>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</si>
  <si>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</si>
  <si>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</si>
  <si>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</si>
  <si>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</si>
  <si>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</si>
  <si>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</si>
  <si>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</si>
  <si>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</si>
  <si>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</si>
  <si>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</si>
  <si>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</si>
  <si>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</si>
  <si>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</si>
  <si>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</si>
  <si>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</si>
  <si>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</si>
  <si>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</si>
  <si>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</si>
  <si>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</si>
  <si>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</si>
  <si>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</si>
  <si>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</si>
  <si>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</si>
  <si>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</si>
  <si>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</si>
  <si>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</si>
  <si>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</si>
  <si>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</si>
  <si>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</si>
  <si>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</si>
  <si>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</si>
  <si>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</si>
  <si>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</si>
  <si>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</si>
  <si>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</si>
  <si>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</si>
  <si>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</si>
  <si>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</si>
  <si>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</si>
  <si>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</si>
  <si>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</si>
  <si>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</si>
  <si>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</si>
  <si>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</si>
  <si>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</si>
  <si>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</si>
  <si>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</si>
  <si>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</si>
  <si>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</si>
  <si>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</si>
  <si>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</si>
  <si>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</si>
  <si>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</si>
  <si>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</si>
  <si>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</si>
  <si>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</si>
  <si>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</si>
  <si>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</si>
  <si>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</si>
  <si>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</si>
  <si>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</si>
  <si>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</si>
  <si>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</si>
  <si>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</si>
  <si>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</si>
  <si>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</si>
  <si>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</si>
  <si>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</si>
  <si>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</si>
  <si>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</si>
  <si>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</si>
  <si>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</si>
  <si>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</si>
  <si>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</si>
  <si>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</si>
  <si>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</si>
  <si>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</si>
  <si>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</si>
  <si>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</si>
  <si>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</si>
  <si>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</si>
  <si>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</si>
  <si>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</si>
  <si>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</si>
  <si>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</si>
  <si>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</si>
  <si>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</si>
  <si>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</si>
  <si>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</si>
  <si>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</si>
  <si>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</si>
  <si>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</si>
  <si>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</si>
  <si>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</si>
  <si>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</si>
  <si>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</si>
  <si>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</si>
  <si>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</si>
  <si>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</si>
  <si>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</si>
  <si>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</si>
  <si>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</si>
  <si>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</si>
  <si>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</si>
  <si>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</si>
  <si>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</si>
  <si>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</si>
  <si>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</si>
  <si>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</si>
  <si>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</si>
  <si>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</si>
  <si>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</si>
  <si>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</si>
  <si>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</si>
  <si>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</si>
  <si>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</si>
  <si>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</si>
  <si>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</si>
  <si>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</si>
  <si>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</si>
  <si>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</si>
  <si>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</si>
  <si>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</si>
  <si>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</si>
  <si>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</si>
  <si>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</si>
  <si>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</si>
  <si>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</si>
  <si>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</si>
  <si>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</si>
  <si>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</si>
  <si>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</si>
  <si>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</si>
  <si>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</si>
  <si>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</si>
  <si>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</si>
  <si>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</si>
  <si>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</si>
  <si>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</si>
  <si>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</si>
  <si>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</si>
  <si>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</si>
  <si>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</si>
  <si>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</si>
  <si>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</si>
  <si>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</si>
  <si>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</si>
  <si>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</si>
  <si>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</si>
  <si>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</si>
  <si>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</si>
  <si>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</si>
  <si>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</si>
  <si>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</si>
  <si>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</si>
  <si>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</si>
  <si>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</si>
  <si>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</si>
  <si>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</si>
  <si>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</si>
  <si>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</si>
  <si>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</si>
  <si>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</si>
  <si>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</si>
  <si>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</si>
  <si>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</si>
  <si>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</si>
  <si>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</si>
  <si>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</si>
  <si>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</si>
  <si>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</si>
  <si>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</si>
  <si>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</si>
  <si>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</si>
  <si>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</si>
  <si>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</si>
  <si>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</si>
  <si>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</si>
  <si>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</si>
  <si>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</si>
  <si>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</si>
  <si>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</si>
  <si>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</si>
  <si>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</si>
  <si>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</si>
  <si>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</si>
  <si>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</si>
  <si>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</si>
  <si>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</si>
  <si>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</si>
  <si>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</si>
  <si>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</si>
  <si>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</si>
  <si>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</si>
  <si>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</si>
  <si>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</si>
  <si>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</si>
  <si>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</si>
  <si>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</si>
  <si>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</si>
  <si>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</si>
  <si>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</si>
  <si>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</si>
  <si>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</si>
  <si>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</si>
  <si>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</si>
  <si>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</si>
  <si>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</si>
  <si>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</si>
  <si>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</si>
  <si>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</si>
  <si>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</si>
  <si>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</si>
  <si>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</si>
  <si>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</si>
  <si>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</si>
  <si>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</si>
  <si>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</si>
  <si>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</si>
  <si>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</si>
  <si>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</si>
  <si>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</si>
  <si>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</si>
  <si>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</si>
  <si>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</si>
  <si>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</si>
  <si>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</si>
  <si>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</si>
  <si>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</si>
  <si>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</si>
  <si>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</si>
  <si>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</si>
  <si>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</si>
  <si>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</si>
  <si>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</si>
  <si>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</si>
  <si>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</si>
  <si>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</si>
  <si>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</si>
  <si>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</si>
  <si>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</si>
  <si>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</si>
  <si>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</si>
  <si>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</si>
  <si>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</si>
  <si>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</si>
  <si>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</si>
  <si>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</si>
  <si>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</si>
  <si>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</si>
  <si>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</si>
  <si>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</si>
  <si>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</si>
  <si>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</si>
  <si>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</si>
  <si>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</si>
  <si>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</si>
  <si>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</si>
  <si>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</si>
  <si>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</si>
  <si>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</si>
  <si>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</si>
  <si>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</si>
  <si>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</si>
  <si>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</si>
  <si>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</si>
  <si>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</si>
  <si>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</si>
  <si>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</si>
  <si>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</si>
  <si>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</si>
  <si>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</si>
  <si>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</si>
  <si>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</si>
  <si>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</si>
  <si>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</si>
  <si>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</si>
  <si>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</si>
  <si>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</si>
  <si>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</si>
  <si>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</si>
  <si>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</si>
  <si>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</si>
  <si>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</si>
  <si>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</si>
  <si>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</si>
  <si>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</si>
  <si>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</si>
  <si>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</si>
  <si>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</si>
  <si>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</si>
  <si>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</si>
  <si>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</si>
  <si>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</si>
  <si>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</si>
  <si>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</si>
  <si>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</si>
  <si>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</si>
  <si>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</si>
  <si>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</si>
  <si>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</si>
  <si>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</si>
  <si>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</si>
  <si>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</si>
  <si>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</si>
  <si>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</si>
  <si>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</si>
  <si>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</si>
  <si>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</si>
  <si>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</si>
  <si>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</si>
  <si>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</si>
  <si>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</si>
  <si>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</si>
  <si>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</si>
  <si>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</si>
  <si>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</si>
  <si>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</si>
  <si>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</si>
  <si>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</si>
  <si>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</si>
  <si>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</si>
  <si>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</si>
  <si>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</si>
  <si>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</si>
  <si>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</si>
  <si>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</si>
  <si>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</si>
  <si>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</si>
  <si>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</si>
  <si>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</si>
  <si>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</si>
  <si>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</si>
  <si>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</si>
  <si>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</si>
  <si>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</si>
  <si>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</si>
  <si>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</si>
  <si>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</si>
  <si>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</si>
  <si>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</si>
  <si>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</si>
  <si>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</si>
  <si>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</si>
  <si>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</si>
  <si>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</si>
  <si>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</si>
  <si>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</si>
  <si>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</si>
  <si>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</si>
  <si>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</si>
  <si>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</si>
  <si>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</si>
  <si>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</si>
  <si>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</si>
  <si>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</si>
  <si>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</si>
  <si>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</si>
  <si>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</si>
  <si>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</si>
  <si>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</si>
  <si>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</si>
  <si>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</si>
  <si>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</si>
  <si>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</si>
  <si>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</si>
  <si>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</si>
  <si>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</si>
  <si>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</si>
  <si>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</si>
  <si>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</si>
  <si>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</si>
  <si>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</si>
  <si>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</si>
  <si>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</si>
  <si>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</si>
  <si>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</si>
  <si>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</si>
  <si>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</si>
  <si>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</si>
  <si>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</si>
  <si>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</si>
  <si>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</si>
  <si>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</si>
  <si>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</si>
  <si>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</si>
  <si>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</si>
  <si>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</si>
  <si>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</si>
  <si>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</si>
  <si>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</si>
  <si>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</si>
  <si>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</si>
  <si>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</si>
  <si>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</si>
  <si>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</si>
  <si>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</si>
  <si>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</si>
  <si>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</si>
  <si>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</si>
  <si>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</si>
  <si>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</si>
  <si>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</si>
  <si>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</si>
  <si>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</si>
  <si>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</si>
  <si>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</si>
  <si>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</si>
  <si>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</si>
  <si>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</si>
  <si>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</si>
  <si>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</si>
  <si>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</si>
  <si>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</si>
  <si>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</si>
  <si>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</si>
  <si>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</si>
  <si>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</si>
  <si>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</si>
  <si>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</si>
  <si>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</si>
  <si>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</si>
  <si>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</si>
  <si>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</si>
  <si>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</si>
  <si>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</si>
  <si>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</si>
  <si>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</si>
  <si>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</si>
  <si>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</si>
  <si>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</si>
  <si>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</si>
  <si>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</si>
  <si>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</si>
  <si>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</si>
  <si>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</si>
  <si>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</si>
  <si>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</si>
  <si>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</si>
  <si>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</si>
  <si>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</si>
  <si>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</si>
  <si>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</si>
  <si>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</si>
  <si>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</si>
  <si>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</si>
  <si>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</si>
  <si>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</si>
  <si>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</si>
  <si>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</si>
  <si>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</si>
  <si>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</si>
  <si>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</si>
  <si>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</si>
  <si>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</si>
  <si>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</si>
  <si>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</si>
  <si>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</si>
  <si>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</si>
  <si>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</si>
  <si>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</si>
  <si>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</si>
  <si>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</si>
  <si>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</si>
  <si>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</si>
  <si>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</si>
  <si>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</si>
  <si>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</si>
  <si>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</si>
  <si>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</si>
  <si>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</si>
  <si>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</si>
  <si>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</si>
  <si>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</si>
  <si>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</si>
  <si>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</si>
  <si>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</si>
  <si>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</si>
  <si>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</si>
  <si>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</si>
  <si>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</si>
  <si>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</si>
  <si>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</si>
  <si>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</si>
  <si>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</si>
  <si>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</si>
  <si>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</si>
  <si>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</si>
  <si>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</si>
  <si>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</si>
  <si>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</si>
  <si>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</si>
  <si>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</si>
  <si>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</si>
  <si>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</si>
  <si>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</si>
  <si>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</si>
  <si>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</si>
  <si>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</si>
  <si>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</si>
  <si>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</si>
  <si>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</si>
  <si>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</si>
  <si>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</si>
  <si>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</si>
  <si>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</si>
  <si>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</si>
  <si>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</si>
  <si>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</si>
  <si>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</si>
  <si>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</si>
  <si>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</si>
  <si>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</si>
  <si>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</si>
  <si>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</si>
  <si>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</si>
  <si>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</si>
  <si>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</si>
  <si>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</si>
  <si>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</si>
  <si>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</si>
  <si>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</si>
  <si>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</si>
  <si>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</si>
  <si>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</si>
  <si>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</si>
  <si>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</si>
  <si>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</si>
  <si>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</si>
  <si>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</si>
  <si>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</si>
  <si>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</si>
  <si>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</si>
  <si>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</si>
  <si>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</si>
  <si>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</si>
  <si>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</si>
  <si>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</si>
  <si>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</si>
  <si>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</si>
  <si>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</si>
  <si>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</si>
  <si>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</si>
  <si>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</si>
  <si>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</si>
  <si>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</si>
  <si>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</si>
  <si>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</si>
  <si>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</si>
  <si>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</si>
  <si>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</si>
  <si>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</si>
  <si>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</si>
  <si>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</si>
  <si>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</si>
  <si>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</si>
  <si>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</si>
  <si>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</si>
  <si>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</si>
  <si>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</si>
  <si>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</si>
  <si>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</si>
  <si>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</si>
  <si>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</si>
  <si>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</si>
  <si>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</si>
  <si>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</si>
  <si>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</si>
  <si>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</si>
  <si>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</si>
  <si>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</si>
  <si>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</si>
  <si>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</si>
  <si>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</si>
  <si>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</si>
  <si>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</si>
  <si>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</si>
  <si>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</si>
  <si>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</si>
  <si>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</si>
  <si>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</si>
  <si>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</si>
  <si>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</si>
  <si>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</si>
  <si>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</si>
  <si>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</si>
  <si>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</si>
  <si>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</si>
  <si>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</si>
  <si>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</si>
  <si>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</si>
  <si>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</si>
  <si>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</si>
  <si>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</si>
  <si>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</si>
  <si>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</si>
  <si>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</si>
  <si>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</si>
  <si>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</si>
  <si>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</si>
  <si>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</si>
  <si>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</si>
  <si>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</si>
  <si>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</si>
  <si>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</si>
  <si>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</si>
  <si>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</si>
  <si>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</si>
  <si>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</si>
  <si>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</si>
  <si>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</si>
  <si>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</si>
  <si>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</si>
  <si>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</si>
  <si>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</si>
  <si>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</si>
  <si>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</si>
  <si>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</si>
  <si>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</si>
  <si>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</si>
  <si>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</si>
  <si>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</si>
  <si>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</si>
  <si>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</si>
  <si>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</si>
  <si>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</si>
  <si>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</si>
  <si>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</si>
  <si>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</si>
  <si>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</si>
  <si>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</si>
  <si>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</si>
  <si>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</si>
  <si>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</si>
  <si>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</si>
  <si>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</si>
  <si>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</si>
  <si>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</si>
  <si>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</si>
  <si>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</si>
  <si>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</si>
  <si>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</si>
  <si>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</si>
  <si>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</si>
  <si>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</si>
  <si>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</si>
  <si>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</si>
  <si>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</si>
  <si>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</si>
  <si>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</si>
  <si>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</si>
  <si>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</si>
  <si>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</si>
  <si>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</si>
  <si>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</si>
  <si>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</si>
  <si>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</si>
  <si>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</si>
  <si>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</si>
  <si>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</si>
  <si>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</si>
  <si>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</si>
  <si>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</si>
  <si>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</si>
  <si>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</si>
  <si>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</si>
  <si>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</si>
  <si>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</si>
  <si>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</si>
  <si>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</si>
  <si>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</si>
  <si>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</si>
  <si>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</si>
  <si>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</si>
  <si>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</si>
  <si>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</si>
  <si>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</si>
  <si>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</si>
  <si>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</si>
  <si>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</si>
  <si>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</si>
  <si>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</si>
  <si>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</si>
  <si>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</si>
  <si>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</si>
  <si>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</si>
  <si>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</si>
  <si>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</si>
  <si>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</si>
  <si>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</si>
  <si>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</si>
  <si>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</si>
  <si>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</si>
  <si>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</si>
  <si>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</si>
  <si>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</si>
  <si>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</si>
  <si>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</si>
  <si>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</si>
  <si>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</si>
  <si>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</si>
  <si>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</si>
  <si>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</si>
  <si>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</si>
  <si>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</si>
  <si>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</si>
  <si>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</si>
  <si>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</si>
  <si>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</si>
  <si>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</si>
  <si>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</si>
  <si>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</si>
  <si>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</si>
  <si>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</si>
  <si>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</si>
  <si>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</si>
  <si>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</si>
  <si>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</si>
  <si>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</si>
  <si>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</si>
  <si>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</si>
  <si>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</si>
  <si>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</si>
  <si>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</si>
  <si>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</si>
  <si>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</si>
  <si>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</si>
  <si>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</si>
  <si>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</si>
  <si>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</si>
  <si>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</si>
  <si>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</si>
  <si>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</si>
  <si>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</si>
  <si>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</si>
  <si>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</si>
  <si>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</si>
  <si>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</si>
  <si>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</si>
  <si>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</si>
  <si>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</si>
  <si>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</si>
  <si>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</si>
  <si>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</si>
  <si>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</si>
  <si>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</si>
  <si>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</si>
  <si>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</si>
  <si>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</si>
  <si>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</si>
  <si>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</si>
  <si>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</si>
  <si>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</si>
  <si>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</si>
  <si>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</si>
  <si>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</si>
  <si>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</si>
  <si>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</si>
  <si>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</si>
  <si>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</si>
  <si>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</si>
  <si>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</si>
  <si>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</si>
  <si>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</si>
  <si>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</si>
  <si>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</si>
  <si>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</si>
  <si>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</si>
  <si>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</si>
  <si>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</si>
  <si>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</si>
  <si>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</si>
  <si>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</si>
  <si>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</si>
  <si>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</si>
  <si>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</si>
  <si>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</si>
  <si>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</si>
  <si>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</si>
  <si>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</si>
  <si>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</si>
  <si>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</si>
  <si>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</si>
  <si>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</si>
  <si>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</si>
  <si>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</si>
  <si>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</si>
  <si>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</si>
  <si>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</si>
  <si>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</si>
  <si>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</si>
  <si>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</si>
  <si>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</si>
  <si>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</si>
  <si>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</si>
  <si>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</si>
  <si>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</si>
  <si>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</si>
  <si>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</si>
  <si>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</si>
  <si>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</si>
  <si>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</si>
  <si>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</si>
  <si>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</si>
  <si>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</si>
  <si>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</si>
  <si>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</si>
  <si>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</si>
  <si>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</si>
  <si>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</si>
  <si>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</si>
  <si>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</si>
  <si>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</si>
  <si>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</si>
  <si>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</si>
  <si>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</si>
  <si>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</si>
  <si>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</si>
  <si>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</si>
  <si>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</si>
  <si>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</si>
  <si>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</si>
  <si>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</si>
  <si>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</si>
  <si>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</si>
  <si>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</si>
  <si>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</si>
  <si>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</si>
  <si>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</si>
  <si>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</si>
  <si>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</si>
  <si>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</si>
  <si>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</si>
  <si>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</si>
  <si>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</si>
  <si>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</si>
  <si>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</si>
  <si>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</si>
  <si>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</si>
  <si>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</si>
  <si>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</si>
  <si>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</si>
  <si>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</si>
  <si>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</si>
  <si>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</si>
  <si>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</si>
  <si>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</si>
  <si>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</si>
  <si>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</si>
  <si>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</si>
  <si>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</si>
  <si>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</si>
  <si>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</si>
  <si>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</si>
  <si>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</si>
  <si>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</si>
  <si>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</si>
  <si>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</si>
  <si>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</si>
  <si>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</si>
  <si>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</si>
  <si>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</si>
  <si>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</si>
  <si>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</si>
  <si>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</si>
  <si>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</si>
  <si>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</si>
  <si>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</si>
  <si>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</si>
  <si>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</si>
  <si>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</si>
  <si>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</si>
  <si>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</si>
  <si>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</si>
  <si>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</si>
  <si>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</si>
  <si>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</si>
  <si>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</si>
  <si>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</si>
  <si>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</si>
  <si>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</si>
  <si>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</si>
  <si>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</si>
  <si>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</si>
  <si>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</si>
  <si>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</si>
  <si>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</si>
  <si>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</si>
  <si>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</si>
  <si>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</si>
  <si>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</si>
  <si>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</si>
  <si>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</si>
  <si>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</si>
  <si>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</si>
  <si>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</si>
  <si>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</si>
  <si>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</si>
  <si>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</si>
  <si>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</si>
  <si>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</si>
  <si>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</si>
  <si>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</si>
  <si>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</si>
  <si>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</si>
  <si>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</si>
  <si>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</si>
  <si>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</si>
  <si>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</si>
  <si>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</si>
  <si>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</si>
  <si>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</si>
  <si>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</si>
  <si>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</si>
  <si>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</si>
  <si>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</si>
  <si>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</si>
  <si>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</si>
  <si>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</si>
  <si>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</si>
  <si>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</si>
  <si>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</si>
  <si>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</si>
  <si>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</si>
  <si>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</si>
  <si>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</si>
  <si>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</si>
  <si>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</si>
  <si>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</si>
  <si>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</si>
  <si>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</si>
  <si>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</si>
  <si>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</si>
  <si>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</si>
  <si>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</si>
  <si>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</si>
  <si>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</si>
  <si>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</si>
  <si>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</si>
  <si>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</si>
  <si>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</si>
  <si>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</si>
  <si>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</si>
  <si>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</si>
  <si>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</si>
  <si>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</si>
  <si>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</si>
  <si>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</si>
  <si>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</si>
  <si>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</si>
  <si>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</si>
  <si>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</si>
  <si>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</si>
  <si>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</si>
  <si>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</si>
  <si>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</si>
  <si>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</si>
  <si>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</si>
  <si>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</si>
  <si>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</si>
  <si>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</si>
  <si>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</si>
  <si>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</si>
  <si>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</si>
  <si>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</si>
  <si>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</si>
  <si>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</si>
  <si>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</si>
  <si>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</si>
  <si>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</si>
  <si>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</si>
  <si>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</si>
  <si>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</si>
  <si>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</si>
  <si>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</si>
  <si>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</si>
  <si>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</si>
  <si>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</si>
  <si>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</si>
  <si>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</si>
  <si>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</si>
  <si>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</si>
  <si>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</si>
  <si>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</si>
  <si>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</si>
  <si>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</si>
  <si>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</si>
  <si>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</si>
  <si>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</si>
  <si>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</si>
  <si>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</si>
  <si>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</si>
  <si>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</si>
  <si>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</si>
  <si>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</si>
  <si>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</si>
  <si>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</si>
  <si>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</si>
  <si>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</si>
  <si>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</si>
  <si>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</si>
  <si>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</si>
  <si>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</si>
  <si>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</si>
  <si>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</si>
  <si>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</si>
  <si>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</si>
  <si>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</si>
  <si>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</si>
  <si>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</si>
  <si>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</si>
  <si>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</si>
  <si>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</si>
  <si>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</si>
  <si>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</si>
  <si>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</si>
  <si>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</si>
  <si>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</si>
  <si>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</si>
  <si>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</si>
  <si>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</si>
  <si>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</si>
  <si>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</si>
  <si>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</si>
  <si>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</si>
  <si>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</si>
  <si>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</si>
  <si>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</si>
  <si>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</si>
  <si>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</si>
  <si>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</si>
  <si>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</si>
  <si>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</si>
  <si>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</si>
  <si>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</si>
  <si>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</si>
  <si>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</si>
  <si>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</si>
  <si>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</si>
  <si>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</si>
  <si>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</si>
  <si>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</si>
  <si>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</si>
  <si>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</si>
  <si>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</si>
  <si>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</si>
  <si>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</si>
  <si>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</si>
  <si>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</si>
  <si>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</si>
  <si>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</si>
  <si>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</si>
  <si>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</si>
  <si>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</si>
  <si>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</si>
  <si>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</si>
  <si>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</si>
  <si>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</si>
  <si>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</si>
  <si>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</si>
  <si>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</si>
  <si>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</si>
  <si>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</si>
  <si>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</si>
  <si>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</si>
  <si>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</si>
  <si>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</si>
  <si>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</si>
  <si>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</si>
  <si>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</si>
  <si>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</si>
  <si>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</si>
  <si>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</si>
  <si>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</si>
  <si>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</si>
  <si>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</si>
  <si>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</si>
  <si>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</si>
  <si>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</si>
  <si>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</si>
  <si>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</si>
  <si>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</si>
  <si>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</si>
  <si>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</si>
  <si>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</si>
  <si>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</si>
  <si>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</si>
  <si>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</si>
  <si>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</si>
  <si>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</si>
  <si>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</si>
  <si>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</si>
  <si>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</si>
  <si>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</si>
  <si>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</si>
  <si>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</si>
  <si>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</si>
  <si>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</si>
  <si>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</si>
  <si>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</si>
  <si>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</si>
  <si>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</si>
  <si>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</si>
  <si>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</si>
  <si>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</si>
  <si>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</si>
  <si>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</si>
  <si>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</si>
  <si>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</si>
  <si>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</si>
  <si>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</si>
  <si>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</si>
  <si>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</si>
  <si>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</si>
  <si>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</si>
  <si>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</si>
  <si>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</si>
  <si>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</si>
  <si>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</si>
  <si>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</si>
  <si>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</si>
  <si>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</si>
  <si>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</si>
  <si>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</si>
  <si>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</si>
  <si>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</si>
  <si>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</si>
  <si>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</si>
  <si>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</si>
  <si>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</si>
  <si>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</si>
  <si>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</si>
  <si>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</si>
  <si>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</si>
  <si>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</si>
  <si>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</si>
  <si>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</si>
  <si>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</si>
  <si>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</si>
  <si>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</si>
  <si>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</si>
  <si>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</si>
  <si>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</si>
  <si>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</si>
  <si>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</si>
  <si>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</si>
  <si>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</si>
  <si>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</si>
  <si>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</si>
  <si>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</si>
  <si>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</si>
  <si>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</si>
  <si>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</si>
  <si>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</si>
  <si>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</si>
  <si>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</si>
  <si>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</si>
  <si>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</si>
  <si>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</si>
  <si>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</si>
  <si>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</si>
  <si>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</si>
  <si>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</si>
  <si>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</si>
  <si>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</si>
  <si>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</si>
  <si>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</si>
  <si>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</si>
  <si>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</si>
  <si>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</si>
  <si>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</si>
  <si>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</si>
  <si>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</si>
  <si>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</si>
  <si>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</si>
  <si>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</si>
  <si>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</si>
  <si>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</si>
  <si>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</si>
  <si>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</si>
  <si>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</si>
  <si>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</si>
  <si>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</si>
  <si>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</si>
  <si>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</si>
  <si>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</si>
  <si>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</si>
  <si>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</si>
  <si>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</si>
  <si>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</si>
  <si>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</si>
  <si>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</si>
  <si>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</si>
  <si>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</si>
  <si>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</si>
  <si>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</si>
  <si>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</si>
  <si>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</si>
  <si>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</si>
  <si>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</si>
  <si>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</si>
  <si>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</si>
  <si>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</si>
  <si>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</si>
  <si>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</si>
  <si>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</si>
  <si>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</si>
  <si>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</si>
  <si>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</si>
  <si>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</si>
  <si>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</si>
  <si>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</si>
  <si>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</si>
  <si>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</si>
  <si>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</si>
  <si>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</si>
  <si>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</si>
  <si>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</si>
  <si>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</si>
  <si>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</si>
  <si>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</si>
  <si>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</si>
  <si>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</si>
  <si>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</si>
  <si>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</si>
  <si>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</si>
  <si>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</si>
  <si>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</si>
  <si>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</si>
  <si>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</si>
  <si>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</si>
  <si>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</si>
  <si>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</si>
  <si>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</si>
  <si>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</si>
  <si>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</si>
  <si>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</si>
  <si>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</si>
  <si>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</si>
  <si>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</si>
  <si>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</si>
  <si>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</si>
  <si>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</si>
  <si>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</si>
  <si>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</si>
  <si>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</si>
  <si>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</si>
  <si>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</si>
  <si>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</si>
  <si>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</si>
  <si>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</si>
  <si>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</si>
  <si>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</si>
  <si>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</si>
  <si>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</si>
  <si>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</si>
  <si>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</si>
  <si>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</si>
  <si>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</si>
  <si>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</si>
  <si>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</si>
  <si>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</si>
  <si>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</si>
  <si>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</si>
  <si>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</si>
  <si>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</si>
  <si>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</si>
  <si>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</si>
  <si>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</si>
  <si>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</si>
  <si>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</si>
  <si>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</si>
  <si>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</si>
  <si>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</si>
  <si>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</si>
  <si>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</si>
  <si>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</si>
  <si>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</si>
  <si>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</si>
  <si>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</si>
  <si>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</si>
  <si>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</si>
  <si>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</si>
  <si>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</si>
  <si>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</si>
  <si>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</si>
  <si>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</si>
  <si>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</si>
  <si>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</si>
  <si>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</si>
  <si>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</si>
  <si>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</si>
  <si>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</si>
  <si>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</si>
  <si>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</si>
  <si>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</si>
  <si>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</si>
  <si>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</si>
  <si>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</si>
  <si>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</si>
  <si>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</si>
  <si>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</si>
  <si>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</si>
  <si>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</si>
  <si>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</si>
  <si>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</si>
  <si>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</si>
  <si>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</si>
  <si>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</si>
  <si>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</si>
  <si>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</si>
  <si>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</si>
  <si>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</si>
  <si>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</si>
  <si>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</si>
  <si>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</si>
  <si>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</si>
  <si>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</si>
  <si>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</si>
  <si>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</si>
  <si>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</si>
  <si>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</si>
  <si>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</si>
  <si>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</si>
  <si>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</si>
  <si>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</si>
  <si>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</si>
  <si>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</si>
  <si>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</si>
  <si>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</si>
  <si>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</si>
  <si>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</si>
  <si>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</si>
  <si>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</si>
  <si>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</si>
  <si>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</si>
  <si>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</si>
  <si>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</si>
  <si>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</si>
  <si>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</si>
  <si>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</si>
  <si>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</si>
  <si>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</si>
  <si>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</si>
  <si>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</si>
  <si>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</si>
  <si>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</si>
  <si>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</si>
  <si>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</si>
  <si>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</si>
  <si>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</si>
  <si>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</si>
  <si>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</si>
  <si>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</si>
  <si>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</si>
  <si>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</si>
  <si>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</si>
  <si>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</si>
  <si>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</si>
  <si>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</si>
  <si>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</si>
  <si>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</si>
  <si>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130 W Bristol Ln, Orange, CA 92865</t>
  </si>
  <si>
    <t>Scott Traver</t>
  </si>
  <si>
    <t>Director of Quality</t>
  </si>
  <si>
    <t>scott.traver@summitinterconnect.com</t>
  </si>
  <si>
    <t>714-239-3733</t>
  </si>
  <si>
    <t>Summit Interconnect Inc. - Orange</t>
  </si>
  <si>
    <t>Supplier's Conflict Minerals</t>
  </si>
  <si>
    <t>Cage Code 3DGF5</t>
  </si>
  <si>
    <t>Immersion Tin is applied if required by contract.  Summit is a build-to-print manufacturer</t>
  </si>
  <si>
    <t>Gold is applied if required by contract.  Summit is a build-to-print manufacturer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</si>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</sst>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cott.traver@summitinterconnec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cott.traver@summitinterconnec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4"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F390C7-91FE-44D3-A9DC-0D2F869451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6EB1B0B-E49C-4F03-9251-F7B82C1D15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93" sqref="E9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15860</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15861</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15864</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15864</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2B5E199-F21E-4E64-9FBA-A4256FF6279C}"/>
    <hyperlink ref="D20" r:id="rId4" xr:uid="{5E850EE1-E1FA-432D-AF32-0E495A8CB5B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C1" zoomScaleNormal="100" zoomScalePageLayoutView="55" workbookViewId="0">
      <selection activeCell="F3" sqref="F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1021</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IF(C5="",NA(),IF(OR(C5="Smelter not listed",C5="Smelter not yet identified"),MATCH($B5&amp;$D5,'Smelter Look-up'!$J:$J,0),MATCH($B5&amp;$C5,'Smelter Look-up'!$J:$J,0)))</f>
        <v>547</v>
      </c>
      <c r="X5" s="227">
        <f t="shared" ref="X5" ca="1" si="0">IF(AND(C5="Smelter not listed",OR(LEN(D5)=0,LEN(E5)=0)),1,0)</f>
        <v>0</v>
      </c>
      <c r="AB5" s="228" t="str">
        <f t="shared" ref="AB5" si="1">B5&amp;C5</f>
        <v>TinThaisarco</v>
      </c>
    </row>
    <row r="6" spans="1:34" s="227" customFormat="1" ht="20.100000000000001" customHeight="1">
      <c r="A6" s="262"/>
      <c r="B6" s="182" t="s">
        <v>1119</v>
      </c>
      <c r="C6" s="186" t="s">
        <v>1217</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IF(C6="",NA(),IF(OR(C6="Smelter not listed",C6="Smelter not yet identified"),MATCH($B6&amp;$D6,'Smelter Look-up'!$J:$J,0),MATCH($B6&amp;$C6,'Smelter Look-up'!$J:$J,0)))</f>
        <v>187</v>
      </c>
      <c r="X6" s="227">
        <f t="shared" ref="X6:X37" ca="1" si="3">IF(AND(C6="Smelter not listed",OR(LEN(D6)=0,LEN(E6)=0)),1,0)</f>
        <v>0</v>
      </c>
      <c r="AB6" s="228" t="str">
        <f t="shared" ref="AB6:AB37" si="4">B6&amp;C6</f>
        <v>GoldMetalor USA Refining Corporation</v>
      </c>
    </row>
    <row r="7" spans="1:34" s="227" customFormat="1" ht="20.100000000000001" customHeight="1">
      <c r="A7" s="262"/>
      <c r="B7" s="182" t="s">
        <v>1120</v>
      </c>
      <c r="C7" s="186" t="s">
        <v>1024</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487</v>
      </c>
      <c r="X7" s="227">
        <f t="shared" ca="1" si="3"/>
        <v>0</v>
      </c>
      <c r="AB7" s="228" t="str">
        <f t="shared" si="4"/>
        <v>TinMinsur</v>
      </c>
    </row>
    <row r="8" spans="1:34" s="227" customFormat="1" ht="20.100000000000001" customHeight="1">
      <c r="A8" s="262"/>
      <c r="B8" s="182" t="s">
        <v>1119</v>
      </c>
      <c r="C8" s="186" t="s">
        <v>810</v>
      </c>
      <c r="D8" s="230"/>
      <c r="E8" s="182" t="str">
        <f ca="1">IF(ISERROR($V8),"",OFFSET('Smelter Look-up'!$D$4,$V8-4,0)&amp;"")</f>
        <v>UNITED STATES OF AMERICA</v>
      </c>
      <c r="F8" s="182" t="str">
        <f ca="1">IF(ISERROR($V8),"",OFFSET('Smelter Look-up'!$E$4,$V8-4,0))</f>
        <v>CID001993</v>
      </c>
      <c r="G8" s="182" t="str">
        <f ca="1">IF(C8=$X$4,IF(ISERROR($V8),"Enter smelter details","RMI"),IF(ISERROR($V8),"",OFFSET('Smelter Look-up'!$F$4,$V8-4,0)))</f>
        <v>RMI</v>
      </c>
      <c r="H8" s="183">
        <f ca="1">IF(ISERROR($V8),"",OFFSET('Smelter Look-up'!$G$4,$V8-4,0))</f>
        <v>0</v>
      </c>
      <c r="I8" s="184" t="str">
        <f ca="1">IF(ISERROR($V8),"",OFFSET('Smelter Look-up'!$H$4,$V8-4,0))</f>
        <v>Alden</v>
      </c>
      <c r="J8" s="184" t="str">
        <f ca="1">IF(ISERROR($V8),"",OFFSET('Smelter Look-up'!$I$4,$V8-4,0))</f>
        <v>New York</v>
      </c>
      <c r="K8" s="224"/>
      <c r="L8" s="224"/>
      <c r="M8" s="224"/>
      <c r="N8" s="224"/>
      <c r="O8" s="224"/>
      <c r="P8" s="185"/>
      <c r="Q8" s="225"/>
      <c r="R8" s="182" t="str">
        <f ca="1">IF(ISERROR($V8),"",OFFSET('Smelter Look-up'!$C$4,$V8-4,0)&amp;"")</f>
        <v>United Precious Metal Refining, Inc.</v>
      </c>
      <c r="S8" s="181" t="str">
        <f t="shared" ca="1" si="2"/>
        <v>US</v>
      </c>
      <c r="T8" s="181" t="str">
        <f ca="1">IF(B8="","",IF(ISERROR(MATCH($J8,SorP!$B$1:$B$6226,0)),"",INDIRECT("'SorP'!$A$"&amp;MATCH($S8&amp;$J8,SorP!C:C,0))))</f>
        <v>US-NY</v>
      </c>
      <c r="U8" s="201"/>
      <c r="V8" s="226">
        <f>IF(C8="",NA(),IF(OR(C8="Smelter not listed",C8="Smelter not yet identified"),MATCH($B8&amp;$D8,'Smelter Look-up'!$J:$J,0),MATCH($B8&amp;$C8,'Smelter Look-up'!$J:$J,0)))</f>
        <v>304</v>
      </c>
      <c r="X8" s="227">
        <f t="shared" ca="1" si="3"/>
        <v>0</v>
      </c>
      <c r="AB8" s="228" t="str">
        <f t="shared" si="4"/>
        <v>GoldUnited Precious Metal Refining, Inc.</v>
      </c>
    </row>
    <row r="9" spans="1:34" s="227" customFormat="1" ht="20.100000000000001" customHeight="1">
      <c r="A9" s="262"/>
      <c r="B9" s="182" t="s">
        <v>1120</v>
      </c>
      <c r="C9" s="186" t="s">
        <v>811</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ca="1" si="3"/>
        <v>0</v>
      </c>
      <c r="AB9" s="228" t="str">
        <f t="shared" si="4"/>
        <v>TinMalaysia Smelting Corporation (MSC)</v>
      </c>
    </row>
    <row r="10" spans="1:34" s="227" customFormat="1" ht="20.100000000000001" customHeight="1">
      <c r="A10" s="262"/>
      <c r="B10" s="182" t="s">
        <v>1119</v>
      </c>
      <c r="C10" s="186" t="s">
        <v>2314</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303</v>
      </c>
      <c r="X10" s="227">
        <f t="shared" ca="1" si="3"/>
        <v>0</v>
      </c>
      <c r="AB10" s="228" t="str">
        <f t="shared" si="4"/>
        <v>GoldUmicore S.A. Business Unit Precious Metals Refining</v>
      </c>
    </row>
    <row r="11" spans="1:34" s="227" customFormat="1" ht="20.100000000000001" customHeight="1">
      <c r="A11" s="262"/>
      <c r="B11" s="182" t="s">
        <v>1120</v>
      </c>
      <c r="C11" s="186" t="s">
        <v>13779</v>
      </c>
      <c r="D11" s="230"/>
      <c r="E11" s="182" t="str">
        <f ca="1">IF(ISERROR($V11),"",OFFSET('Smelter Look-up'!$D$4,$V11-4,0)&amp;"")</f>
        <v>INDONESIA</v>
      </c>
      <c r="F11" s="182" t="str">
        <f ca="1">IF(ISERROR($V11),"",OFFSET('Smelter Look-up'!$E$4,$V11-4,0))</f>
        <v>CID001477</v>
      </c>
      <c r="G11" s="182" t="str">
        <f ca="1">IF(C11=$X$4,IF(ISERROR($V11),"Enter smelter details","RMI"),IF(ISERROR($V11),"",OFFSET('Smelter Look-up'!$F$4,$V11-4,0)))</f>
        <v>RMI</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225"/>
      <c r="R11" s="182" t="str">
        <f ca="1">IF(ISERROR($V11),"",OFFSET('Smelter Look-up'!$C$4,$V11-4,0)&amp;"")</f>
        <v>PT Timah Tbk Kundur</v>
      </c>
      <c r="S11" s="181" t="str">
        <f t="shared" ca="1" si="2"/>
        <v>ID</v>
      </c>
      <c r="T11" s="181" t="str">
        <f ca="1">IF(B11="","",IF(ISERROR(MATCH($J11,SorP!$B$1:$B$6226,0)),"",INDIRECT("'SorP'!$A$"&amp;MATCH($S11&amp;$J11,SorP!C:C,0))))</f>
        <v>ID-RI</v>
      </c>
      <c r="U11" s="201"/>
      <c r="V11" s="226">
        <f>IF(C11="",NA(),IF(OR(C11="Smelter not listed",C11="Smelter not yet identified"),MATCH($B11&amp;$D11,'Smelter Look-up'!$J:$J,0),MATCH($B11&amp;$C11,'Smelter Look-up'!$J:$J,0)))</f>
        <v>532</v>
      </c>
      <c r="X11" s="227">
        <f t="shared" ca="1" si="3"/>
        <v>0</v>
      </c>
      <c r="AB11" s="228" t="str">
        <f t="shared" si="4"/>
        <v>TinPT Timah Tbk Kundur</v>
      </c>
    </row>
    <row r="12" spans="1:34" s="227" customFormat="1" ht="20.100000000000001" customHeight="1">
      <c r="A12" s="262"/>
      <c r="B12" s="182" t="s">
        <v>1120</v>
      </c>
      <c r="C12" s="186" t="s">
        <v>832</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433</v>
      </c>
      <c r="X12" s="227">
        <f t="shared" ca="1" si="3"/>
        <v>0</v>
      </c>
      <c r="AB12" s="228" t="str">
        <f t="shared" si="4"/>
        <v>TinEM Vinto</v>
      </c>
    </row>
    <row r="13" spans="1:34" s="227" customFormat="1" ht="20.100000000000001" customHeight="1">
      <c r="A13" s="262"/>
      <c r="B13" s="182" t="s">
        <v>1119</v>
      </c>
      <c r="C13" s="186" t="s">
        <v>903</v>
      </c>
      <c r="D13" s="230"/>
      <c r="E13" s="182" t="str">
        <f ca="1">IF(ISERROR($V13),"",OFFSET('Smelter Look-up'!$D$4,$V13-4,0)&amp;"")</f>
        <v>CANADA</v>
      </c>
      <c r="F13" s="182" t="str">
        <f ca="1">IF(ISERROR($V13),"",OFFSET('Smelter Look-up'!$E$4,$V13-4,0))</f>
        <v>CID001534</v>
      </c>
      <c r="G13" s="182" t="str">
        <f ca="1">IF(C13=$X$4,IF(ISERROR($V13),"Enter smelter details","RMI"),IF(ISERROR($V13),"",OFFSET('Smelter Look-up'!$F$4,$V13-4,0)))</f>
        <v>RMI</v>
      </c>
      <c r="H13" s="183">
        <f ca="1">IF(ISERROR($V13),"",OFFSET('Smelter Look-up'!$G$4,$V13-4,0))</f>
        <v>0</v>
      </c>
      <c r="I13" s="184" t="str">
        <f ca="1">IF(ISERROR($V13),"",OFFSET('Smelter Look-up'!$H$4,$V13-4,0))</f>
        <v>Ottawa</v>
      </c>
      <c r="J13" s="184" t="str">
        <f ca="1">IF(ISERROR($V13),"",OFFSET('Smelter Look-up'!$I$4,$V13-4,0))</f>
        <v>Ontario</v>
      </c>
      <c r="K13" s="224"/>
      <c r="L13" s="224"/>
      <c r="M13" s="224"/>
      <c r="N13" s="224"/>
      <c r="O13" s="224"/>
      <c r="P13" s="185"/>
      <c r="Q13" s="225"/>
      <c r="R13" s="182" t="str">
        <f ca="1">IF(ISERROR($V13),"",OFFSET('Smelter Look-up'!$C$4,$V13-4,0)&amp;"")</f>
        <v>Royal Canadian Mint</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232</v>
      </c>
      <c r="X13" s="227">
        <f t="shared" ca="1" si="3"/>
        <v>0</v>
      </c>
      <c r="AB13" s="228" t="str">
        <f t="shared" si="4"/>
        <v>GoldRoyal Canadian Mint</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04317C6-E270-4D72-AD53-7CC66C24A02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Summit Interconnect Inc. - Orange</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Supplier's Conflict Minerals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Traver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scott.traver@summitinterconnect.com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714-239-3733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Traver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scott.traver@summitinterconnect.com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Nef Rios</cp:lastModifiedBy>
  <cp:lastPrinted>2015-04-21T20:47:43Z</cp:lastPrinted>
  <dcterms:created xsi:type="dcterms:W3CDTF">2010-06-21T21:00:23Z</dcterms:created>
  <dcterms:modified xsi:type="dcterms:W3CDTF">2025-02-27T17:26:17Z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